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fileSharing userName="Administrator" algorithmName="SHA-512" hashValue="khsGRpTjdCmLdvpNPO9jkYgNS667t0aWVgyGSSLfJJJIXP/DLDYIcz54n3MyhiFdraCuaA79ZanlOdhR4EmpkA==" saltValue="pPaphQa1ED+maDtzIwK85A==" spinCount="10000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vba\最終成果物\Locked\"/>
    </mc:Choice>
  </mc:AlternateContent>
  <xr:revisionPtr revIDLastSave="0" documentId="8_{272A8F06-DD8F-457A-B9DA-15C5CA9146E0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C61" i="1"/>
  <c r="C44" i="1"/>
  <c r="C60" i="1"/>
  <c r="C59" i="1"/>
  <c r="L28" i="1"/>
  <c r="M28" i="1" s="1"/>
  <c r="I28" i="1"/>
  <c r="J28" i="1" s="1"/>
  <c r="E49" i="1" s="1"/>
  <c r="L26" i="1"/>
  <c r="M26" i="1" s="1"/>
  <c r="I26" i="1"/>
  <c r="J26" i="1" s="1"/>
  <c r="C49" i="1" s="1"/>
  <c r="I22" i="1"/>
  <c r="J22" i="1" s="1"/>
  <c r="I18" i="1"/>
  <c r="J18" i="1" s="1"/>
  <c r="C45" i="1" s="1"/>
  <c r="B22" i="1"/>
  <c r="C43" i="1" s="1"/>
  <c r="B18" i="1"/>
  <c r="C42" i="1" s="1"/>
  <c r="F21" i="1"/>
  <c r="F22" i="1" s="1"/>
  <c r="D21" i="1"/>
  <c r="I19" i="1" s="1"/>
  <c r="D17" i="1"/>
  <c r="D18" i="1" s="1"/>
  <c r="E43" i="1" l="1"/>
  <c r="E64" i="1"/>
  <c r="C66" i="1"/>
  <c r="C64" i="1"/>
  <c r="E62" i="1"/>
  <c r="C47" i="1"/>
  <c r="E45" i="1"/>
  <c r="C51" i="1"/>
  <c r="E47" i="1"/>
  <c r="J19" i="1"/>
  <c r="F17" i="1"/>
  <c r="E60" i="1" l="1"/>
  <c r="C62" i="1"/>
  <c r="C46" i="1"/>
  <c r="E44" i="1"/>
  <c r="D22" i="1"/>
  <c r="E16" i="1" l="1"/>
  <c r="I23" i="1"/>
  <c r="L27" i="1"/>
  <c r="M27" i="1" s="1"/>
  <c r="I27" i="1"/>
  <c r="J27" i="1" s="1"/>
  <c r="C65" i="1" l="1"/>
  <c r="E63" i="1"/>
  <c r="C50" i="1"/>
  <c r="E48" i="1"/>
  <c r="J23" i="1"/>
  <c r="C63" i="1" l="1"/>
  <c r="E61" i="1"/>
  <c r="C48" i="1"/>
  <c r="E46" i="1"/>
  <c r="D10" i="1" l="1"/>
  <c r="D9" i="1"/>
  <c r="D7" i="1"/>
  <c r="D6" i="1"/>
  <c r="K12" i="1" s="1"/>
  <c r="C58" i="1" l="1"/>
  <c r="C69" i="1" s="1"/>
  <c r="C30" i="1"/>
  <c r="C41" i="1"/>
  <c r="C54" i="1" s="1"/>
  <c r="K7" i="1"/>
  <c r="K13" i="1"/>
  <c r="K8" i="1"/>
  <c r="K14" i="1"/>
  <c r="K6" i="1"/>
  <c r="D11" i="1"/>
  <c r="E33" i="1" l="1"/>
  <c r="E59" i="1"/>
  <c r="E42" i="1"/>
  <c r="E41" i="1"/>
  <c r="E54" i="1" s="1"/>
  <c r="C55" i="1" s="1"/>
  <c r="E30" i="1"/>
  <c r="E58" i="1"/>
  <c r="E69" i="1" s="1"/>
  <c r="C70" i="1" s="1"/>
  <c r="K15" i="1"/>
  <c r="K9" i="1"/>
  <c r="C31" i="1"/>
  <c r="I17" i="1"/>
  <c r="L25" i="1"/>
  <c r="M25" i="1" s="1"/>
  <c r="I25" i="1"/>
  <c r="J25" i="1" s="1"/>
  <c r="C33" i="1"/>
  <c r="C32" i="1"/>
  <c r="I21" i="1"/>
  <c r="C37" i="1"/>
  <c r="J17" i="1" l="1"/>
  <c r="K17" i="1"/>
  <c r="J21" i="1"/>
  <c r="K21" i="1"/>
  <c r="E37" i="1"/>
  <c r="C38" i="1" s="1"/>
</calcChain>
</file>

<file path=xl/sharedStrings.xml><?xml version="1.0" encoding="utf-8"?>
<sst xmlns="http://schemas.openxmlformats.org/spreadsheetml/2006/main" count="120" uniqueCount="66">
  <si>
    <t>標準原価カード</t>
    <phoneticPr fontId="3" type="noConversion"/>
  </si>
  <si>
    <t>うち固定費</t>
    <phoneticPr fontId="3" type="noConversion"/>
  </si>
  <si>
    <t>うち変動費</t>
    <phoneticPr fontId="3" type="noConversion"/>
  </si>
  <si>
    <t>標準単位原価</t>
    <phoneticPr fontId="3" type="noConversion"/>
  </si>
  <si>
    <t>直接材料費</t>
    <phoneticPr fontId="3" type="noConversion"/>
  </si>
  <si>
    <t>直接労務費</t>
    <phoneticPr fontId="3" type="noConversion"/>
  </si>
  <si>
    <t>製造間接費</t>
    <phoneticPr fontId="3" type="noConversion"/>
  </si>
  <si>
    <t>標準価格</t>
    <phoneticPr fontId="3" type="noConversion"/>
  </si>
  <si>
    <t>標準数量</t>
    <phoneticPr fontId="3" type="noConversion"/>
  </si>
  <si>
    <t>標準原価</t>
    <phoneticPr fontId="3" type="noConversion"/>
  </si>
  <si>
    <t>期首進捗</t>
    <phoneticPr fontId="5" type="noConversion"/>
  </si>
  <si>
    <t>期末進捗</t>
    <phoneticPr fontId="5" type="noConversion"/>
  </si>
  <si>
    <t>期首実在</t>
    <phoneticPr fontId="5" type="noConversion"/>
  </si>
  <si>
    <t>当期投下実在</t>
    <phoneticPr fontId="5" type="noConversion"/>
  </si>
  <si>
    <t>期末実在</t>
    <phoneticPr fontId="5" type="noConversion"/>
  </si>
  <si>
    <t>ボックス</t>
    <phoneticPr fontId="5" type="noConversion"/>
  </si>
  <si>
    <t>期首繰越実在</t>
    <phoneticPr fontId="5" type="noConversion"/>
  </si>
  <si>
    <t>当期完成</t>
    <phoneticPr fontId="5" type="noConversion"/>
  </si>
  <si>
    <t>期首繰越進捗換算</t>
    <phoneticPr fontId="5" type="noConversion"/>
  </si>
  <si>
    <t>期末繰越実在</t>
    <phoneticPr fontId="5" type="noConversion"/>
  </si>
  <si>
    <t>当期投下進捗換算</t>
    <phoneticPr fontId="5" type="noConversion"/>
  </si>
  <si>
    <t>期末繰越進捗換算</t>
    <phoneticPr fontId="5" type="noConversion"/>
  </si>
  <si>
    <t>当期実績</t>
    <phoneticPr fontId="3" type="noConversion"/>
  </si>
  <si>
    <t>実際消費量</t>
    <phoneticPr fontId="3" type="noConversion"/>
  </si>
  <si>
    <t>実際価格</t>
    <phoneticPr fontId="3" type="noConversion"/>
  </si>
  <si>
    <t>実際作業時間</t>
    <phoneticPr fontId="3" type="noConversion"/>
  </si>
  <si>
    <t>実際賃率</t>
    <phoneticPr fontId="3" type="noConversion"/>
  </si>
  <si>
    <t>正常操業度（基準）</t>
    <phoneticPr fontId="3" type="noConversion"/>
  </si>
  <si>
    <t>製造間接費実際発生額</t>
    <phoneticPr fontId="3" type="noConversion"/>
  </si>
  <si>
    <t>期末棚卸資産製造原価</t>
    <phoneticPr fontId="5" type="noConversion"/>
  </si>
  <si>
    <t>合計</t>
    <phoneticPr fontId="5" type="noConversion"/>
  </si>
  <si>
    <t>期末完成品製造原価</t>
    <phoneticPr fontId="5" type="noConversion"/>
  </si>
  <si>
    <t>直接材料費差異</t>
    <phoneticPr fontId="3" type="noConversion"/>
  </si>
  <si>
    <t>価格差異</t>
  </si>
  <si>
    <t>価格差異</t>
    <phoneticPr fontId="3" type="noConversion"/>
  </si>
  <si>
    <t>数量差異</t>
  </si>
  <si>
    <t>数量差異</t>
    <phoneticPr fontId="3" type="noConversion"/>
  </si>
  <si>
    <t>実際材料費</t>
    <phoneticPr fontId="3" type="noConversion"/>
  </si>
  <si>
    <t>実際労務費</t>
    <phoneticPr fontId="3" type="noConversion"/>
  </si>
  <si>
    <r>
      <t>←</t>
    </r>
    <r>
      <rPr>
        <sz val="11"/>
        <color theme="1"/>
        <rFont val="游ゴシック"/>
        <family val="2"/>
        <charset val="128"/>
      </rPr>
      <t>CHECK</t>
    </r>
    <phoneticPr fontId="3" type="noConversion"/>
  </si>
  <si>
    <t>直接労務費差異</t>
    <phoneticPr fontId="3" type="noConversion"/>
  </si>
  <si>
    <t>賃率差異</t>
  </si>
  <si>
    <t>賃率差異</t>
    <phoneticPr fontId="3" type="noConversion"/>
  </si>
  <si>
    <t>作業時間差異</t>
  </si>
  <si>
    <t>作業時間差異</t>
    <phoneticPr fontId="3" type="noConversion"/>
  </si>
  <si>
    <t>予算差異</t>
  </si>
  <si>
    <t>予算差異</t>
    <phoneticPr fontId="3" type="noConversion"/>
  </si>
  <si>
    <t>能率差異</t>
  </si>
  <si>
    <t>能率差異</t>
    <phoneticPr fontId="3" type="noConversion"/>
  </si>
  <si>
    <t>操業度差異</t>
  </si>
  <si>
    <t>操業度差異</t>
    <phoneticPr fontId="3" type="noConversion"/>
  </si>
  <si>
    <t>製造間接費差異（通常）</t>
    <phoneticPr fontId="3" type="noConversion"/>
  </si>
  <si>
    <t>製造間接費差異（能率差異重視）</t>
    <phoneticPr fontId="3" type="noConversion"/>
  </si>
  <si>
    <t>仕掛品勘定</t>
    <phoneticPr fontId="3" type="noConversion"/>
  </si>
  <si>
    <t>①シングル</t>
    <phoneticPr fontId="3" type="noConversion"/>
  </si>
  <si>
    <t>②パーシャル</t>
    <phoneticPr fontId="3" type="noConversion"/>
  </si>
  <si>
    <t>期末完成品</t>
    <phoneticPr fontId="5" type="noConversion"/>
  </si>
  <si>
    <t>期末棚卸資産</t>
    <phoneticPr fontId="5" type="noConversion"/>
  </si>
  <si>
    <t>期首仕掛品</t>
    <phoneticPr fontId="3" type="noConversion"/>
  </si>
  <si>
    <t>合計</t>
  </si>
  <si>
    <t>合計</t>
    <phoneticPr fontId="3" type="noConversion"/>
  </si>
  <si>
    <t>貸方記入は不利</t>
    <phoneticPr fontId="3" type="noConversion"/>
  </si>
  <si>
    <t>借方記入は有利</t>
    <phoneticPr fontId="3" type="noConversion"/>
  </si>
  <si>
    <t>①修正パーシャル</t>
    <phoneticPr fontId="3" type="noConversion"/>
  </si>
  <si>
    <t>数値を入力ください</t>
    <phoneticPr fontId="3" type="noConversion"/>
  </si>
  <si>
    <t>自動計算のため、なんも入力しないでください！！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</si>
</sst>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8" formatCode="#,##0.00_ "/>
  </numFmts>
  <fonts count="8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游ゴシック"/>
      <family val="2"/>
      <charset val="128"/>
    </font>
    <font>
      <sz val="9"/>
      <name val="等线"/>
      <family val="2"/>
      <charset val="134"/>
      <scheme val="minor"/>
    </font>
    <font>
      <b/>
      <sz val="11"/>
      <color rgb="FFFF0000"/>
      <name val="等线"/>
      <family val="3"/>
      <charset val="128"/>
      <scheme val="minor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33">
    <xf numFmtId="0" fontId="0" fillId="0" borderId="0" xfId="0"/>
    <xf numFmtId="176" fontId="0" fillId="2" borderId="0" xfId="1" applyNumberFormat="1" applyFont="1" applyFill="1" applyAlignment="1" applyProtection="1">
      <protection locked="0"/>
    </xf>
    <xf numFmtId="176" fontId="4" fillId="0" borderId="0" xfId="1" applyNumberFormat="1" applyFont="1" applyAlignment="1" applyProtection="1">
      <protection locked="0"/>
    </xf>
    <xf numFmtId="176" fontId="0" fillId="0" borderId="0" xfId="1" applyNumberFormat="1" applyFont="1" applyAlignment="1" applyProtection="1">
      <protection locked="0"/>
    </xf>
    <xf numFmtId="176" fontId="0" fillId="3" borderId="0" xfId="1" applyNumberFormat="1" applyFont="1" applyFill="1" applyAlignment="1" applyProtection="1">
      <protection locked="0"/>
    </xf>
    <xf numFmtId="176" fontId="2" fillId="0" borderId="0" xfId="1" applyNumberFormat="1" applyFont="1" applyProtection="1">
      <alignment vertical="center"/>
      <protection locked="0"/>
    </xf>
    <xf numFmtId="178" fontId="7" fillId="2" borderId="0" xfId="1" applyNumberFormat="1" applyFont="1" applyFill="1" applyProtection="1">
      <alignment vertical="center"/>
      <protection locked="0"/>
    </xf>
    <xf numFmtId="176" fontId="4" fillId="0" borderId="0" xfId="1" applyNumberFormat="1" applyFont="1" applyProtection="1">
      <alignment vertical="center"/>
      <protection locked="0"/>
    </xf>
    <xf numFmtId="176" fontId="2" fillId="2" borderId="0" xfId="1" applyNumberFormat="1" applyFont="1" applyFill="1" applyProtection="1">
      <alignment vertical="center"/>
      <protection locked="0"/>
    </xf>
    <xf numFmtId="176" fontId="4" fillId="0" borderId="0" xfId="1" applyNumberFormat="1" applyFont="1" applyAlignment="1" applyProtection="1">
      <alignment horizontal="right"/>
      <protection locked="0"/>
    </xf>
    <xf numFmtId="176" fontId="2" fillId="0" borderId="1" xfId="1" applyNumberFormat="1" applyFont="1" applyBorder="1" applyProtection="1">
      <alignment vertical="center"/>
      <protection locked="0"/>
    </xf>
    <xf numFmtId="176" fontId="4" fillId="0" borderId="2" xfId="1" applyNumberFormat="1" applyFont="1" applyBorder="1" applyProtection="1">
      <alignment vertical="center"/>
      <protection locked="0"/>
    </xf>
    <xf numFmtId="176" fontId="4" fillId="0" borderId="3" xfId="1" applyNumberFormat="1" applyFont="1" applyBorder="1" applyProtection="1">
      <alignment vertical="center"/>
      <protection locked="0"/>
    </xf>
    <xf numFmtId="176" fontId="0" fillId="0" borderId="0" xfId="1" applyNumberFormat="1" applyFont="1" applyAlignment="1" applyProtection="1">
      <alignment horizontal="right"/>
      <protection locked="0"/>
    </xf>
    <xf numFmtId="176" fontId="4" fillId="0" borderId="5" xfId="1" applyNumberFormat="1" applyFont="1" applyBorder="1" applyProtection="1">
      <alignment vertical="center"/>
      <protection locked="0"/>
    </xf>
    <xf numFmtId="176" fontId="2" fillId="0" borderId="6" xfId="1" applyNumberFormat="1" applyFont="1" applyBorder="1" applyProtection="1">
      <alignment vertical="center"/>
      <protection locked="0"/>
    </xf>
    <xf numFmtId="176" fontId="2" fillId="0" borderId="7" xfId="1" applyNumberFormat="1" applyFont="1" applyBorder="1" applyProtection="1">
      <alignment vertical="center"/>
      <protection locked="0"/>
    </xf>
    <xf numFmtId="176" fontId="2" fillId="0" borderId="8" xfId="1" applyNumberFormat="1" applyFont="1" applyBorder="1" applyProtection="1">
      <alignment vertical="center"/>
      <protection locked="0"/>
    </xf>
    <xf numFmtId="176" fontId="2" fillId="0" borderId="9" xfId="1" applyNumberFormat="1" applyFont="1" applyBorder="1" applyProtection="1">
      <alignment vertical="center"/>
      <protection locked="0"/>
    </xf>
    <xf numFmtId="176" fontId="4" fillId="0" borderId="10" xfId="1" applyNumberFormat="1" applyFont="1" applyBorder="1" applyProtection="1">
      <alignment vertical="center"/>
      <protection locked="0"/>
    </xf>
    <xf numFmtId="176" fontId="0" fillId="0" borderId="1" xfId="1" applyNumberFormat="1" applyFont="1" applyBorder="1" applyAlignment="1" applyProtection="1">
      <protection locked="0"/>
    </xf>
    <xf numFmtId="176" fontId="4" fillId="0" borderId="1" xfId="1" applyNumberFormat="1" applyFont="1" applyBorder="1" applyAlignment="1" applyProtection="1">
      <protection locked="0"/>
    </xf>
    <xf numFmtId="176" fontId="0" fillId="0" borderId="8" xfId="1" applyNumberFormat="1" applyFont="1" applyBorder="1" applyAlignment="1" applyProtection="1">
      <protection locked="0"/>
    </xf>
    <xf numFmtId="176" fontId="0" fillId="3" borderId="0" xfId="1" applyNumberFormat="1" applyFont="1" applyFill="1" applyAlignment="1" applyProtection="1">
      <protection hidden="1"/>
    </xf>
    <xf numFmtId="176" fontId="2" fillId="3" borderId="0" xfId="1" applyNumberFormat="1" applyFont="1" applyFill="1" applyProtection="1">
      <alignment vertical="center"/>
      <protection hidden="1"/>
    </xf>
    <xf numFmtId="176" fontId="6" fillId="3" borderId="0" xfId="1" applyNumberFormat="1" applyFont="1" applyFill="1" applyAlignment="1" applyProtection="1">
      <alignment horizontal="center" vertical="top" wrapText="1"/>
      <protection hidden="1"/>
    </xf>
    <xf numFmtId="176" fontId="6" fillId="3" borderId="0" xfId="1" applyNumberFormat="1" applyFont="1" applyFill="1" applyProtection="1">
      <alignment vertical="center"/>
      <protection hidden="1"/>
    </xf>
    <xf numFmtId="176" fontId="2" fillId="3" borderId="4" xfId="1" applyNumberFormat="1" applyFont="1" applyFill="1" applyBorder="1" applyProtection="1">
      <alignment vertical="center"/>
      <protection hidden="1"/>
    </xf>
    <xf numFmtId="176" fontId="2" fillId="3" borderId="2" xfId="1" applyNumberFormat="1" applyFont="1" applyFill="1" applyBorder="1" applyProtection="1">
      <alignment vertical="center"/>
      <protection hidden="1"/>
    </xf>
    <xf numFmtId="176" fontId="2" fillId="3" borderId="5" xfId="1" applyNumberFormat="1" applyFont="1" applyFill="1" applyBorder="1" applyProtection="1">
      <alignment vertical="center"/>
      <protection hidden="1"/>
    </xf>
    <xf numFmtId="176" fontId="2" fillId="3" borderId="10" xfId="1" applyNumberFormat="1" applyFont="1" applyFill="1" applyBorder="1" applyProtection="1">
      <alignment vertical="center"/>
      <protection hidden="1"/>
    </xf>
    <xf numFmtId="176" fontId="0" fillId="3" borderId="7" xfId="1" applyNumberFormat="1" applyFont="1" applyFill="1" applyBorder="1" applyAlignment="1" applyProtection="1">
      <protection hidden="1"/>
    </xf>
    <xf numFmtId="176" fontId="0" fillId="3" borderId="8" xfId="1" applyNumberFormat="1" applyFont="1" applyFill="1" applyBorder="1" applyAlignment="1" applyProtection="1">
      <protection hidden="1"/>
    </xf>
  </cellXfs>
  <cellStyles count="3">
    <cellStyle name="桁区切り" xfId="1" builtinId="6"/>
    <cellStyle name="標準" xfId="0" builtinId="0"/>
    <cellStyle name="標準 2" xfId="2" xr:uid="{B1EB7A17-20FF-4A8A-95E9-C2E2C12B23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70"/>
  <sheetViews>
    <sheetView tabSelected="1" zoomScale="115" zoomScaleNormal="115" workbookViewId="0">
      <selection activeCell="B18" sqref="B18"/>
    </sheetView>
  </sheetViews>
  <sheetFormatPr defaultRowHeight="12.75"/>
  <cols>
    <col min="1" max="1" width="21" style="3" bestFit="1" customWidth="1"/>
    <col min="2" max="2" width="15.3984375" style="3" bestFit="1" customWidth="1"/>
    <col min="3" max="3" width="16.9296875" style="3" bestFit="1" customWidth="1"/>
    <col min="4" max="4" width="16.59765625" style="3" customWidth="1"/>
    <col min="5" max="5" width="12.19921875" style="3" bestFit="1" customWidth="1"/>
    <col min="6" max="6" width="17" style="3" bestFit="1" customWidth="1"/>
    <col min="7" max="7" width="9.1328125" style="3" bestFit="1" customWidth="1"/>
    <col min="8" max="8" width="23.86328125" style="3" bestFit="1" customWidth="1"/>
    <col min="9" max="9" width="13.265625" style="3" bestFit="1" customWidth="1"/>
    <col min="10" max="10" width="21.73046875" style="3" bestFit="1" customWidth="1"/>
    <col min="11" max="11" width="14.19921875" style="3" customWidth="1"/>
    <col min="12" max="16384" width="9.06640625" style="3"/>
  </cols>
  <sheetData>
    <row r="1" spans="1:11" ht="17.649999999999999">
      <c r="A1" s="1"/>
      <c r="B1" s="2" t="s">
        <v>64</v>
      </c>
    </row>
    <row r="2" spans="1:11" ht="17.649999999999999">
      <c r="A2" s="4"/>
      <c r="B2" s="2" t="s">
        <v>65</v>
      </c>
    </row>
    <row r="4" spans="1:11" ht="17.649999999999999">
      <c r="A4" s="2" t="s">
        <v>0</v>
      </c>
    </row>
    <row r="5" spans="1:11" ht="17.649999999999999">
      <c r="B5" s="2" t="s">
        <v>7</v>
      </c>
      <c r="C5" s="2" t="s">
        <v>8</v>
      </c>
      <c r="D5" s="3" t="s">
        <v>9</v>
      </c>
      <c r="F5" s="5" t="s">
        <v>10</v>
      </c>
      <c r="G5" s="6">
        <v>0.5</v>
      </c>
      <c r="J5" s="5" t="s">
        <v>29</v>
      </c>
      <c r="K5" s="5"/>
    </row>
    <row r="6" spans="1:11" ht="17.649999999999999">
      <c r="A6" s="2" t="s">
        <v>4</v>
      </c>
      <c r="B6" s="1">
        <v>50</v>
      </c>
      <c r="C6" s="1">
        <v>10</v>
      </c>
      <c r="D6" s="23">
        <f>B6*C6</f>
        <v>500</v>
      </c>
      <c r="F6" s="5" t="s">
        <v>11</v>
      </c>
      <c r="G6" s="6">
        <v>0.3</v>
      </c>
      <c r="J6" s="2" t="s">
        <v>4</v>
      </c>
      <c r="K6" s="24">
        <f>F21*D6</f>
        <v>50000</v>
      </c>
    </row>
    <row r="7" spans="1:11" ht="17.649999999999999">
      <c r="A7" s="2" t="s">
        <v>5</v>
      </c>
      <c r="B7" s="1">
        <v>1000</v>
      </c>
      <c r="C7" s="1">
        <v>8</v>
      </c>
      <c r="D7" s="23">
        <f>B7*C7</f>
        <v>8000</v>
      </c>
      <c r="F7" s="5"/>
      <c r="G7" s="5"/>
      <c r="J7" s="2" t="s">
        <v>5</v>
      </c>
      <c r="K7" s="24">
        <f>F22*SUM(D7)</f>
        <v>240000</v>
      </c>
    </row>
    <row r="8" spans="1:11" ht="17.649999999999999">
      <c r="A8" s="2" t="s">
        <v>6</v>
      </c>
      <c r="B8" s="1"/>
      <c r="C8" s="1"/>
      <c r="F8" s="5"/>
      <c r="G8" s="5"/>
      <c r="J8" s="2" t="s">
        <v>6</v>
      </c>
      <c r="K8" s="24">
        <f>F22*SUM(D9:D10)</f>
        <v>120000</v>
      </c>
    </row>
    <row r="9" spans="1:11" ht="17.649999999999999">
      <c r="A9" s="2" t="s">
        <v>2</v>
      </c>
      <c r="B9" s="1">
        <v>200</v>
      </c>
      <c r="C9" s="1">
        <v>8</v>
      </c>
      <c r="D9" s="23">
        <f>B9*C9</f>
        <v>1600</v>
      </c>
      <c r="F9" s="5"/>
      <c r="G9" s="5"/>
      <c r="J9" s="7" t="s">
        <v>30</v>
      </c>
      <c r="K9" s="24">
        <f>SUM(K6:K8)</f>
        <v>410000</v>
      </c>
    </row>
    <row r="10" spans="1:11" ht="17.649999999999999">
      <c r="A10" s="2" t="s">
        <v>1</v>
      </c>
      <c r="B10" s="1">
        <v>300</v>
      </c>
      <c r="C10" s="1">
        <v>8</v>
      </c>
      <c r="D10" s="23">
        <f>B10*C10</f>
        <v>2400</v>
      </c>
      <c r="F10" s="5" t="s">
        <v>12</v>
      </c>
      <c r="G10" s="8">
        <v>80</v>
      </c>
    </row>
    <row r="11" spans="1:11" ht="17.649999999999999">
      <c r="A11" s="2" t="s">
        <v>3</v>
      </c>
      <c r="D11" s="23">
        <f>SUM(D6:D10)</f>
        <v>12500</v>
      </c>
      <c r="F11" s="5" t="s">
        <v>13</v>
      </c>
      <c r="G11" s="8">
        <v>1000</v>
      </c>
      <c r="J11" s="5" t="s">
        <v>31</v>
      </c>
      <c r="K11" s="5"/>
    </row>
    <row r="12" spans="1:11" ht="17.649999999999999">
      <c r="B12" s="25" t="str">
        <f>"本エクセルシートはYCY会計（ycyaccount.com　知乎，小红书同名）より作成したものである、無断転載や商業目的使用を禁じる"</f>
        <v>本エクセルシートはYCY会計（ycyaccount.com　知乎，小红书同名）より作成したものである、無断転載や商業目的使用を禁じる</v>
      </c>
      <c r="C12" s="25"/>
      <c r="D12" s="25"/>
      <c r="E12" s="25"/>
      <c r="F12" s="5"/>
      <c r="G12" s="5"/>
      <c r="J12" s="2" t="s">
        <v>4</v>
      </c>
      <c r="K12" s="24">
        <f>F17*D6</f>
        <v>490000</v>
      </c>
    </row>
    <row r="13" spans="1:11" ht="17.649999999999999">
      <c r="B13" s="25"/>
      <c r="C13" s="25"/>
      <c r="D13" s="25"/>
      <c r="E13" s="25"/>
      <c r="F13" s="5" t="s">
        <v>14</v>
      </c>
      <c r="G13" s="8">
        <v>100</v>
      </c>
      <c r="J13" s="2" t="s">
        <v>5</v>
      </c>
      <c r="K13" s="24">
        <f>F17*SUM(D7)</f>
        <v>7840000</v>
      </c>
    </row>
    <row r="14" spans="1:11" ht="17.649999999999999">
      <c r="A14" s="2" t="s">
        <v>22</v>
      </c>
      <c r="B14" s="25"/>
      <c r="C14" s="25"/>
      <c r="D14" s="25"/>
      <c r="E14" s="25"/>
      <c r="J14" s="2" t="s">
        <v>6</v>
      </c>
      <c r="K14" s="24">
        <f>SUM(D9:D10)*F17</f>
        <v>3920000</v>
      </c>
    </row>
    <row r="15" spans="1:11" ht="17.649999999999999">
      <c r="A15" s="2" t="s">
        <v>4</v>
      </c>
      <c r="J15" s="7" t="s">
        <v>30</v>
      </c>
      <c r="K15" s="24">
        <f>F17*D11</f>
        <v>12250000</v>
      </c>
    </row>
    <row r="16" spans="1:11" ht="18" thickBot="1">
      <c r="A16" s="9" t="s">
        <v>23</v>
      </c>
      <c r="B16" s="1">
        <v>10320</v>
      </c>
      <c r="C16" s="10"/>
      <c r="D16" s="10" t="s">
        <v>15</v>
      </c>
      <c r="E16" s="26" t="b">
        <f>SUM(D17:D22)-F17=SUM(F17:F22)</f>
        <v>1</v>
      </c>
      <c r="F16" s="10"/>
    </row>
    <row r="17" spans="1:13" ht="18.399999999999999" thickTop="1" thickBot="1">
      <c r="A17" s="9" t="s">
        <v>24</v>
      </c>
      <c r="B17" s="1">
        <v>53</v>
      </c>
      <c r="C17" s="11" t="s">
        <v>16</v>
      </c>
      <c r="D17" s="28">
        <f>G10</f>
        <v>80</v>
      </c>
      <c r="E17" s="12" t="s">
        <v>17</v>
      </c>
      <c r="F17" s="27">
        <f>SUM(D17,D21)-F19-F21</f>
        <v>980</v>
      </c>
      <c r="H17" s="3" t="s">
        <v>32</v>
      </c>
      <c r="I17" s="23">
        <f>SUM(K6+K12-D17*D6)-B18</f>
        <v>-46960</v>
      </c>
      <c r="J17" s="23" t="str">
        <f>IF(I17&lt;0,"不利差異","有利差異")</f>
        <v>不利差異</v>
      </c>
      <c r="K17" s="23" t="b">
        <f>SUM(I18:I19)=I17</f>
        <v>1</v>
      </c>
      <c r="L17" s="3" t="s">
        <v>39</v>
      </c>
    </row>
    <row r="18" spans="1:13" ht="18.399999999999999" thickTop="1" thickBot="1">
      <c r="A18" s="13" t="s">
        <v>37</v>
      </c>
      <c r="B18" s="23">
        <f>B16*B17</f>
        <v>546960</v>
      </c>
      <c r="C18" s="14" t="s">
        <v>18</v>
      </c>
      <c r="D18" s="29">
        <f>D17*G5</f>
        <v>40</v>
      </c>
      <c r="E18" s="15"/>
      <c r="F18" s="16"/>
      <c r="H18" s="13" t="s">
        <v>34</v>
      </c>
      <c r="I18" s="23">
        <f>(B6-B17)*B16</f>
        <v>-30960</v>
      </c>
      <c r="J18" s="23" t="str">
        <f t="shared" ref="J18:J19" si="0">IF(I18&lt;0,"不利差異","有利差異")</f>
        <v>不利差異</v>
      </c>
    </row>
    <row r="19" spans="1:13" ht="18" thickTop="1">
      <c r="A19" s="2" t="s">
        <v>5</v>
      </c>
      <c r="C19" s="5"/>
      <c r="D19" s="5"/>
      <c r="E19" s="5"/>
      <c r="F19" s="17"/>
      <c r="H19" s="13" t="s">
        <v>36</v>
      </c>
      <c r="I19" s="23">
        <f>(SUM(D21)*C6-B16)*B6</f>
        <v>-16000</v>
      </c>
      <c r="J19" s="23" t="str">
        <f t="shared" si="0"/>
        <v>不利差異</v>
      </c>
    </row>
    <row r="20" spans="1:13" ht="18" thickBot="1">
      <c r="A20" s="9" t="s">
        <v>25</v>
      </c>
      <c r="B20" s="1">
        <v>7840</v>
      </c>
      <c r="C20" s="5"/>
      <c r="D20" s="5"/>
      <c r="E20" s="10"/>
      <c r="F20" s="18"/>
    </row>
    <row r="21" spans="1:13" ht="18" thickTop="1">
      <c r="A21" s="9" t="s">
        <v>26</v>
      </c>
      <c r="B21" s="1">
        <v>1050</v>
      </c>
      <c r="C21" s="11" t="s">
        <v>13</v>
      </c>
      <c r="D21" s="28">
        <f>G11</f>
        <v>1000</v>
      </c>
      <c r="E21" s="19" t="s">
        <v>19</v>
      </c>
      <c r="F21" s="30">
        <f>G13</f>
        <v>100</v>
      </c>
      <c r="H21" s="3" t="s">
        <v>40</v>
      </c>
      <c r="I21" s="23">
        <f>SUM(K7+K13-D18*D7)-B22</f>
        <v>-472000</v>
      </c>
      <c r="J21" s="23" t="str">
        <f>IF(I21&lt;0,"不利差異","有利差異")</f>
        <v>不利差異</v>
      </c>
      <c r="K21" s="23" t="b">
        <f>SUM(I22:I23)=I21</f>
        <v>1</v>
      </c>
      <c r="L21" s="3" t="s">
        <v>39</v>
      </c>
    </row>
    <row r="22" spans="1:13" ht="18" thickBot="1">
      <c r="A22" s="13" t="s">
        <v>38</v>
      </c>
      <c r="B22" s="23">
        <f>B20*B21</f>
        <v>8232000</v>
      </c>
      <c r="C22" s="14" t="s">
        <v>20</v>
      </c>
      <c r="D22" s="29">
        <f>SUM(F17,F20,F22)-D18</f>
        <v>970</v>
      </c>
      <c r="E22" s="14" t="s">
        <v>21</v>
      </c>
      <c r="F22" s="29">
        <f>F21*G6</f>
        <v>30</v>
      </c>
      <c r="H22" s="13" t="s">
        <v>42</v>
      </c>
      <c r="I22" s="23">
        <f>(B7-B21)*B20</f>
        <v>-392000</v>
      </c>
      <c r="J22" s="23" t="str">
        <f t="shared" ref="J22:J23" si="1">IF(I22&lt;0,"不利差異","有利差異")</f>
        <v>不利差異</v>
      </c>
    </row>
    <row r="23" spans="1:13" ht="18" thickTop="1">
      <c r="A23" s="2" t="s">
        <v>6</v>
      </c>
      <c r="H23" s="13" t="s">
        <v>44</v>
      </c>
      <c r="I23" s="23">
        <f>(SUM(D22)*C7-B20)*B7</f>
        <v>-80000</v>
      </c>
      <c r="J23" s="23" t="str">
        <f t="shared" si="1"/>
        <v>不利差異</v>
      </c>
    </row>
    <row r="24" spans="1:13" ht="17.649999999999999">
      <c r="A24" s="9" t="s">
        <v>27</v>
      </c>
      <c r="B24" s="1">
        <v>8000</v>
      </c>
    </row>
    <row r="25" spans="1:13" ht="17.649999999999999">
      <c r="A25" s="9" t="s">
        <v>25</v>
      </c>
      <c r="B25" s="1">
        <v>7840</v>
      </c>
      <c r="H25" s="3" t="s">
        <v>51</v>
      </c>
      <c r="I25" s="23">
        <f>SUM(K8+K14-D18*SUM(D9:D10))-B26</f>
        <v>-90000</v>
      </c>
      <c r="J25" s="23" t="str">
        <f>IF(I25&lt;0,"不利差異","有利差異")</f>
        <v>不利差異</v>
      </c>
      <c r="K25" s="3" t="s">
        <v>52</v>
      </c>
      <c r="L25" s="23">
        <f>SUM(K8+K14-D18*SUM(D9:D10))-B26</f>
        <v>-90000</v>
      </c>
      <c r="M25" s="23" t="str">
        <f>IF(L25&lt;0,"不利差異","有利差異")</f>
        <v>不利差異</v>
      </c>
    </row>
    <row r="26" spans="1:13" ht="17.649999999999999">
      <c r="A26" s="9" t="s">
        <v>28</v>
      </c>
      <c r="B26" s="1">
        <v>3970000</v>
      </c>
      <c r="H26" s="13" t="s">
        <v>46</v>
      </c>
      <c r="I26" s="23">
        <f>B9*B25+B24*B10-B26</f>
        <v>-2000</v>
      </c>
      <c r="J26" s="23" t="str">
        <f t="shared" ref="J26:J28" si="2">IF(I26&lt;0,"不利差異","有利差異")</f>
        <v>不利差異</v>
      </c>
      <c r="K26" s="13" t="s">
        <v>46</v>
      </c>
      <c r="L26" s="23">
        <f>B9*B25+B24*B10-B26</f>
        <v>-2000</v>
      </c>
      <c r="M26" s="23" t="str">
        <f t="shared" ref="M26:M28" si="3">IF(L26&lt;0,"不利差異","有利差異")</f>
        <v>不利差異</v>
      </c>
    </row>
    <row r="27" spans="1:13">
      <c r="H27" s="13" t="s">
        <v>48</v>
      </c>
      <c r="I27" s="23">
        <f>(D22*C9-B25)*SUM(B9:B10)</f>
        <v>-40000</v>
      </c>
      <c r="J27" s="23" t="str">
        <f t="shared" si="2"/>
        <v>不利差異</v>
      </c>
      <c r="K27" s="13" t="s">
        <v>48</v>
      </c>
      <c r="L27" s="23">
        <f>(D22*C9-B25)*SUM(B9)</f>
        <v>-16000</v>
      </c>
      <c r="M27" s="23" t="str">
        <f t="shared" si="3"/>
        <v>不利差異</v>
      </c>
    </row>
    <row r="28" spans="1:13">
      <c r="H28" s="13" t="s">
        <v>50</v>
      </c>
      <c r="I28" s="23">
        <f>(B25-B24)*B10</f>
        <v>-48000</v>
      </c>
      <c r="J28" s="23" t="str">
        <f t="shared" si="2"/>
        <v>不利差異</v>
      </c>
      <c r="K28" s="13" t="s">
        <v>50</v>
      </c>
      <c r="L28" s="23">
        <f>(B25-B24)*SUM(B9:B10)</f>
        <v>-80000</v>
      </c>
      <c r="M28" s="23" t="str">
        <f t="shared" si="3"/>
        <v>不利差異</v>
      </c>
    </row>
    <row r="29" spans="1:13" ht="18" thickBot="1">
      <c r="A29" s="3" t="s">
        <v>53</v>
      </c>
      <c r="B29" s="20"/>
      <c r="C29" s="21" t="s">
        <v>54</v>
      </c>
      <c r="D29" s="20"/>
      <c r="E29" s="20"/>
      <c r="F29" s="2"/>
    </row>
    <row r="30" spans="1:13" ht="13.15" thickTop="1">
      <c r="B30" s="3" t="s">
        <v>58</v>
      </c>
      <c r="C30" s="31">
        <f>SUM(D7:D10)*D18+D6*D17</f>
        <v>520000</v>
      </c>
      <c r="D30" s="5" t="s">
        <v>56</v>
      </c>
      <c r="E30" s="23">
        <f>F17*D11</f>
        <v>12250000</v>
      </c>
    </row>
    <row r="31" spans="1:13" ht="17.649999999999999">
      <c r="B31" s="2" t="s">
        <v>4</v>
      </c>
      <c r="C31" s="32">
        <f>SUM(K6+K12-D17*D6)</f>
        <v>500000</v>
      </c>
    </row>
    <row r="32" spans="1:13" ht="17.649999999999999">
      <c r="B32" s="2" t="s">
        <v>5</v>
      </c>
      <c r="C32" s="32">
        <f>SUM(K7+K13-D18*D7)</f>
        <v>7760000</v>
      </c>
    </row>
    <row r="33" spans="2:5" ht="17.649999999999999">
      <c r="B33" s="2" t="s">
        <v>6</v>
      </c>
      <c r="C33" s="32">
        <f>SUM(K8+K14-D18*SUM(D9:D10))</f>
        <v>3880000</v>
      </c>
      <c r="D33" s="5" t="s">
        <v>57</v>
      </c>
      <c r="E33" s="23">
        <f>SUM(K6:K8)</f>
        <v>410000</v>
      </c>
    </row>
    <row r="34" spans="2:5">
      <c r="C34" s="22"/>
    </row>
    <row r="35" spans="2:5">
      <c r="C35" s="22"/>
    </row>
    <row r="36" spans="2:5">
      <c r="C36" s="22"/>
    </row>
    <row r="37" spans="2:5">
      <c r="B37" s="3" t="s">
        <v>60</v>
      </c>
      <c r="C37" s="32">
        <f>SUM(C30:C33)</f>
        <v>12660000</v>
      </c>
      <c r="D37" s="3" t="s">
        <v>59</v>
      </c>
      <c r="E37" s="23">
        <f>SUM(E30:E33)</f>
        <v>12660000</v>
      </c>
    </row>
    <row r="38" spans="2:5">
      <c r="C38" s="23" t="b">
        <f>E37=C37</f>
        <v>1</v>
      </c>
    </row>
    <row r="40" spans="2:5" ht="18" thickBot="1">
      <c r="B40" s="20" t="s">
        <v>62</v>
      </c>
      <c r="C40" s="21" t="s">
        <v>55</v>
      </c>
      <c r="D40" s="20" t="s">
        <v>61</v>
      </c>
      <c r="E40" s="20"/>
    </row>
    <row r="41" spans="2:5" ht="13.15" thickTop="1">
      <c r="B41" s="3" t="s">
        <v>58</v>
      </c>
      <c r="C41" s="31">
        <f>SUM(D7:D10)*D18+D6*D17</f>
        <v>520000</v>
      </c>
      <c r="D41" s="5" t="s">
        <v>56</v>
      </c>
      <c r="E41" s="23">
        <f>F17*D11</f>
        <v>12250000</v>
      </c>
    </row>
    <row r="42" spans="2:5" ht="17.649999999999999">
      <c r="B42" s="2" t="s">
        <v>4</v>
      </c>
      <c r="C42" s="32">
        <f>B18</f>
        <v>546960</v>
      </c>
      <c r="D42" s="5" t="s">
        <v>57</v>
      </c>
      <c r="E42" s="23">
        <f>SUM(K6:K8)</f>
        <v>410000</v>
      </c>
    </row>
    <row r="43" spans="2:5" ht="17.649999999999999">
      <c r="B43" s="2" t="s">
        <v>5</v>
      </c>
      <c r="C43" s="32">
        <f>B22</f>
        <v>8232000</v>
      </c>
      <c r="D43" s="3" t="s">
        <v>34</v>
      </c>
      <c r="E43" s="23">
        <f>IF(J18="不利差異",-SUMIF($H$17:$H$28,D43,$I$17:$I$28),"")</f>
        <v>30960</v>
      </c>
    </row>
    <row r="44" spans="2:5" ht="17.649999999999999">
      <c r="B44" s="2" t="s">
        <v>6</v>
      </c>
      <c r="C44" s="32">
        <f>B26</f>
        <v>3970000</v>
      </c>
      <c r="D44" s="3" t="s">
        <v>35</v>
      </c>
      <c r="E44" s="23">
        <f>IF(J19="不利差異",-SUMIF($H$17:$H$28,D44,$I$17:$I$28),"")</f>
        <v>16000</v>
      </c>
    </row>
    <row r="45" spans="2:5">
      <c r="B45" s="3" t="s">
        <v>33</v>
      </c>
      <c r="C45" s="32" t="str">
        <f>IF(J18="有利差異",-SUMIF($H$17:$H$28,D43,$I$17:$I$28),"")</f>
        <v/>
      </c>
      <c r="D45" s="3" t="s">
        <v>41</v>
      </c>
      <c r="E45" s="23">
        <f>IF(J22="不利差異",-SUMIF($H$17:$H$28,D45,$I$17:$I$28),"")</f>
        <v>392000</v>
      </c>
    </row>
    <row r="46" spans="2:5">
      <c r="B46" s="3" t="s">
        <v>35</v>
      </c>
      <c r="C46" s="32" t="str">
        <f>IF(J19="有利差異",-SUMIF($H$17:$H$28,D44,$I$17:$I$28),"")</f>
        <v/>
      </c>
      <c r="D46" s="3" t="s">
        <v>43</v>
      </c>
      <c r="E46" s="23">
        <f>IF(J23="不利差異",-SUMIF($H$17:$H$28,D46,$I$17:$I$28),"")</f>
        <v>80000</v>
      </c>
    </row>
    <row r="47" spans="2:5">
      <c r="B47" s="3" t="s">
        <v>41</v>
      </c>
      <c r="C47" s="32" t="str">
        <f>IF(J22="有利差異",-SUMIF($H$17:$H$28,D45,$I$17:$I$28),"")</f>
        <v/>
      </c>
      <c r="D47" s="3" t="s">
        <v>45</v>
      </c>
      <c r="E47" s="23">
        <f>IF(J26="不利差異",-SUMIF($H$17:$H$28,D47,$I$17:$I$28),"")</f>
        <v>2000</v>
      </c>
    </row>
    <row r="48" spans="2:5">
      <c r="B48" s="3" t="s">
        <v>43</v>
      </c>
      <c r="C48" s="32" t="str">
        <f>IF(J23="有利差異",-SUMIF($H$17:$H$28,D46,$I$17:$I$28),"")</f>
        <v/>
      </c>
      <c r="D48" s="3" t="s">
        <v>47</v>
      </c>
      <c r="E48" s="23">
        <f>IF(J27="不利差異",-SUMIF($H$17:$H$28,D48,$I$17:$I$28),"")</f>
        <v>40000</v>
      </c>
    </row>
    <row r="49" spans="2:5">
      <c r="B49" s="3" t="s">
        <v>45</v>
      </c>
      <c r="C49" s="32" t="str">
        <f>IF(J26="有利差異",-SUMIF($H$17:$H$28,D47,$I$17:$I$28),"")</f>
        <v/>
      </c>
      <c r="D49" s="3" t="s">
        <v>49</v>
      </c>
      <c r="E49" s="23">
        <f>IF(J28="不利差異",-SUMIF($H$17:$H$28,D49,$I$17:$I$28),"")</f>
        <v>48000</v>
      </c>
    </row>
    <row r="50" spans="2:5">
      <c r="B50" s="3" t="s">
        <v>47</v>
      </c>
      <c r="C50" s="32" t="str">
        <f>IF(J27="有利差異",-SUMIF($H$17:$H$28,D48,$I$17:$I$28),"")</f>
        <v/>
      </c>
    </row>
    <row r="51" spans="2:5">
      <c r="B51" s="3" t="s">
        <v>49</v>
      </c>
      <c r="C51" s="32" t="str">
        <f>IF(J28="有利差異",-SUMIF($H$17:$H$28,D49,$I$17:$I$28),"")</f>
        <v/>
      </c>
    </row>
    <row r="52" spans="2:5">
      <c r="C52" s="22"/>
    </row>
    <row r="53" spans="2:5">
      <c r="C53" s="22"/>
    </row>
    <row r="54" spans="2:5">
      <c r="B54" s="3" t="s">
        <v>60</v>
      </c>
      <c r="C54" s="32">
        <f>SUM(C41:C51)</f>
        <v>13268960</v>
      </c>
      <c r="D54" s="3" t="s">
        <v>59</v>
      </c>
      <c r="E54" s="23">
        <f>SUM(E41:E51)</f>
        <v>13268960</v>
      </c>
    </row>
    <row r="55" spans="2:5">
      <c r="C55" s="23" t="b">
        <f>E54=C54</f>
        <v>1</v>
      </c>
    </row>
    <row r="57" spans="2:5" ht="18" thickBot="1">
      <c r="B57" s="20" t="s">
        <v>62</v>
      </c>
      <c r="C57" s="21" t="s">
        <v>63</v>
      </c>
      <c r="D57" s="20" t="s">
        <v>61</v>
      </c>
      <c r="E57" s="20"/>
    </row>
    <row r="58" spans="2:5" ht="13.15" thickTop="1">
      <c r="B58" s="3" t="s">
        <v>58</v>
      </c>
      <c r="C58" s="31">
        <f>SUM(D7:D10)*D18+D6*D17</f>
        <v>520000</v>
      </c>
      <c r="D58" s="5" t="s">
        <v>56</v>
      </c>
      <c r="E58" s="23">
        <f>F17*D11</f>
        <v>12250000</v>
      </c>
    </row>
    <row r="59" spans="2:5" ht="17.649999999999999">
      <c r="B59" s="2" t="s">
        <v>4</v>
      </c>
      <c r="C59" s="32">
        <f>B16*B6</f>
        <v>516000</v>
      </c>
      <c r="D59" s="5" t="s">
        <v>57</v>
      </c>
      <c r="E59" s="23">
        <f>SUM(K6:K8)</f>
        <v>410000</v>
      </c>
    </row>
    <row r="60" spans="2:5" ht="17.649999999999999">
      <c r="B60" s="2" t="s">
        <v>5</v>
      </c>
      <c r="C60" s="32">
        <f>B20*B7</f>
        <v>7840000</v>
      </c>
      <c r="D60" s="3" t="s">
        <v>35</v>
      </c>
      <c r="E60" s="23">
        <f>IF(J19="不利差異",-SUMIF($H$17:$H$28,D60,$I$17:$I$28),"")</f>
        <v>16000</v>
      </c>
    </row>
    <row r="61" spans="2:5" ht="17.649999999999999">
      <c r="B61" s="2" t="s">
        <v>6</v>
      </c>
      <c r="C61" s="32">
        <f>B26</f>
        <v>3970000</v>
      </c>
      <c r="D61" s="3" t="s">
        <v>43</v>
      </c>
      <c r="E61" s="23">
        <f>IF(J23="不利差異",-SUMIF($H$17:$H$28,D61,$I$17:$I$28),"")</f>
        <v>80000</v>
      </c>
    </row>
    <row r="62" spans="2:5">
      <c r="B62" s="3" t="s">
        <v>35</v>
      </c>
      <c r="C62" s="32" t="str">
        <f>IF(J19="有利差異",-SUMIF($H$17:$H$28,D60,$I$17:$I$28),"")</f>
        <v/>
      </c>
      <c r="D62" s="3" t="s">
        <v>45</v>
      </c>
      <c r="E62" s="23">
        <f>IF(J26="不利差異",-SUMIF($H$17:$H$28,D62,$I$17:$I$28),"")</f>
        <v>2000</v>
      </c>
    </row>
    <row r="63" spans="2:5">
      <c r="B63" s="3" t="s">
        <v>43</v>
      </c>
      <c r="C63" s="32" t="str">
        <f>IF(J23="有利差異",-SUMIF($H$17:$H$28,D61,$I$17:$I$28),"")</f>
        <v/>
      </c>
      <c r="D63" s="3" t="s">
        <v>47</v>
      </c>
      <c r="E63" s="23">
        <f>IF(J27="不利差異",-SUMIF($H$17:$H$28,D63,$I$17:$I$28),"")</f>
        <v>40000</v>
      </c>
    </row>
    <row r="64" spans="2:5">
      <c r="B64" s="3" t="s">
        <v>45</v>
      </c>
      <c r="C64" s="32" t="str">
        <f>IF(J26="有利差異",-SUMIF($H$17:$H$28,D62,$I$17:$I$28),"")</f>
        <v/>
      </c>
      <c r="D64" s="3" t="s">
        <v>49</v>
      </c>
      <c r="E64" s="23">
        <f>IF(J28="不利差異",-SUMIF($H$17:$H$28,D64,$I$17:$I$28),"")</f>
        <v>48000</v>
      </c>
    </row>
    <row r="65" spans="2:5">
      <c r="B65" s="3" t="s">
        <v>47</v>
      </c>
      <c r="C65" s="32" t="str">
        <f>IF(J27="有利差異",-SUMIF($H$17:$H$28,D63,$I$17:$I$28),"")</f>
        <v/>
      </c>
    </row>
    <row r="66" spans="2:5">
      <c r="B66" s="3" t="s">
        <v>49</v>
      </c>
      <c r="C66" s="32" t="str">
        <f>IF(J28="有利差異",-SUMIF($H$17:$H$28,D64,$I$17:$I$28),"")</f>
        <v/>
      </c>
    </row>
    <row r="67" spans="2:5">
      <c r="C67" s="22"/>
    </row>
    <row r="68" spans="2:5">
      <c r="C68" s="22"/>
    </row>
    <row r="69" spans="2:5">
      <c r="B69" s="3" t="s">
        <v>60</v>
      </c>
      <c r="C69" s="32">
        <f>SUM(C58:C66)</f>
        <v>12846000</v>
      </c>
      <c r="D69" s="3" t="s">
        <v>59</v>
      </c>
      <c r="E69" s="23">
        <f>SUM(E58:E66)</f>
        <v>12846000</v>
      </c>
    </row>
    <row r="70" spans="2:5">
      <c r="C70" s="23" t="b">
        <f>E69=C69</f>
        <v>1</v>
      </c>
    </row>
  </sheetData>
  <sheetProtection algorithmName="SHA-512" hashValue="/oKlqFMgK8uRqn3NHF0a7WPBnxraaVPcJ9nxk7Wn7usaxBffbQa5vBhA3w1C9ShVfcxArOC0ySFhvCYrzAL31Q==" saltValue="BAH9aHogCZ+JrF0G949vIA==" spinCount="100000" sheet="1" objects="1" scenarios="1"/>
  <mergeCells count="1">
    <mergeCell ref="B12:E14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2023-03-17T14:19:25Z</dcterms:modified>
</cp:coreProperties>
</file>