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fileSharing userName="Administrator" algorithmName="SHA-512" hashValue="Q7ZvzYSF5H7Nr5RNbifFXwPZJ4A2hSrHNFygu9/ZDmoEsJOvZKd2XVbawdgKEf/1aVLxjWb8xkX85PPagjPDZQ==" saltValue="JajTSm9lpPXIOavdTzh9uQ==" spinCount="10000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vba\最終成果物\Locked\"/>
    </mc:Choice>
  </mc:AlternateContent>
  <xr:revisionPtr revIDLastSave="0" documentId="8_{86F49751-6D33-49C3-B44D-DF916D5807BE}" xr6:coauthVersionLast="47" xr6:coauthVersionMax="47" xr10:uidLastSave="{00000000-0000-0000-0000-000000000000}"/>
  <bookViews>
    <workbookView xWindow="-83" yWindow="-83" windowWidth="28965" windowHeight="15646" activeTab="1" xr2:uid="{FB16A987-BE9A-4C08-967C-8FBAC58A5EBD}"/>
  </bookViews>
  <sheets>
    <sheet name="インプット法→FIFOは要更新" sheetId="28" r:id="rId1"/>
    <sheet name="AVG" sheetId="3" r:id="rId2"/>
    <sheet name="アウトプット法→" sheetId="29" r:id="rId3"/>
    <sheet name="AVG(単純)" sheetId="19" r:id="rId4"/>
    <sheet name="AVG (仕損度外視)" sheetId="25" r:id="rId5"/>
    <sheet name="AVG (仕損非度外視) " sheetId="26" r:id="rId6"/>
    <sheet name="AVG (仕損非度外視平均発生)  " sheetId="27" r:id="rId7"/>
    <sheet name="FIFO (単純)" sheetId="20" r:id="rId8"/>
    <sheet name="FIFO (仕損度外視)" sheetId="22" r:id="rId9"/>
    <sheet name="FIFO (仕損非度外視)" sheetId="23" r:id="rId10"/>
    <sheet name="FIFO (仕損非度外視平均発生) " sheetId="2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24" l="1"/>
  <c r="A32" i="24"/>
  <c r="G23" i="23"/>
  <c r="A31" i="23"/>
  <c r="G23" i="22"/>
  <c r="A31" i="22"/>
  <c r="G22" i="20"/>
  <c r="A31" i="20"/>
  <c r="G23" i="27"/>
  <c r="A32" i="27"/>
  <c r="G23" i="26"/>
  <c r="A31" i="26"/>
  <c r="G22" i="25"/>
  <c r="A31" i="25"/>
  <c r="J7" i="19"/>
  <c r="G24" i="19"/>
  <c r="G41" i="3"/>
  <c r="B41" i="3"/>
  <c r="F1" i="3"/>
  <c r="D28" i="27"/>
  <c r="D25" i="27"/>
  <c r="C27" i="27"/>
  <c r="C28" i="27" s="1"/>
  <c r="C29" i="27" s="1"/>
  <c r="B27" i="27"/>
  <c r="D28" i="26"/>
  <c r="D25" i="26"/>
  <c r="C27" i="26"/>
  <c r="B27" i="26"/>
  <c r="C28" i="26" s="1"/>
  <c r="C29" i="26" s="1"/>
  <c r="D28" i="25"/>
  <c r="D25" i="25"/>
  <c r="C28" i="25"/>
  <c r="C29" i="25" s="1"/>
  <c r="C27" i="25"/>
  <c r="B27" i="25"/>
  <c r="B28" i="25" s="1"/>
  <c r="E20" i="27"/>
  <c r="E19" i="27"/>
  <c r="J19" i="27" s="1"/>
  <c r="C19" i="27"/>
  <c r="E17" i="27"/>
  <c r="J17" i="27" s="1"/>
  <c r="L5" i="27" s="1"/>
  <c r="C16" i="27"/>
  <c r="C15" i="27"/>
  <c r="E19" i="26"/>
  <c r="E20" i="26" s="1"/>
  <c r="C19" i="26"/>
  <c r="E17" i="26"/>
  <c r="E18" i="26" s="1"/>
  <c r="C16" i="26"/>
  <c r="C20" i="26" s="1"/>
  <c r="E15" i="26"/>
  <c r="C15" i="26"/>
  <c r="B14" i="26"/>
  <c r="B13" i="26"/>
  <c r="B12" i="26"/>
  <c r="E20" i="25"/>
  <c r="J19" i="25"/>
  <c r="H5" i="25" s="1"/>
  <c r="E19" i="25"/>
  <c r="C19" i="25"/>
  <c r="E17" i="25"/>
  <c r="E18" i="25" s="1"/>
  <c r="C15" i="25"/>
  <c r="E15" i="25" s="1"/>
  <c r="B14" i="25"/>
  <c r="B13" i="25"/>
  <c r="B12" i="25"/>
  <c r="D28" i="24"/>
  <c r="D25" i="24"/>
  <c r="C27" i="24"/>
  <c r="C28" i="24" s="1"/>
  <c r="C29" i="24" s="1"/>
  <c r="B27" i="24"/>
  <c r="D28" i="23"/>
  <c r="D25" i="23"/>
  <c r="C27" i="23"/>
  <c r="C28" i="23" s="1"/>
  <c r="C29" i="23" s="1"/>
  <c r="B27" i="23"/>
  <c r="D28" i="22"/>
  <c r="D28" i="20"/>
  <c r="D25" i="22"/>
  <c r="D25" i="20"/>
  <c r="C27" i="22"/>
  <c r="B27" i="22"/>
  <c r="E19" i="24"/>
  <c r="E20" i="24" s="1"/>
  <c r="C19" i="24"/>
  <c r="J19" i="24" s="1"/>
  <c r="E18" i="24"/>
  <c r="E17" i="24"/>
  <c r="J17" i="24" s="1"/>
  <c r="L5" i="24" s="1"/>
  <c r="C16" i="24"/>
  <c r="C15" i="24"/>
  <c r="E19" i="23"/>
  <c r="E20" i="23" s="1"/>
  <c r="C19" i="23"/>
  <c r="J19" i="23" s="1"/>
  <c r="E17" i="23"/>
  <c r="E18" i="23" s="1"/>
  <c r="E15" i="23"/>
  <c r="C15" i="23"/>
  <c r="C16" i="23" s="1"/>
  <c r="C20" i="23" s="1"/>
  <c r="B14" i="23"/>
  <c r="B13" i="23"/>
  <c r="B12" i="23"/>
  <c r="E19" i="22"/>
  <c r="E20" i="22" s="1"/>
  <c r="C19" i="22"/>
  <c r="E17" i="22"/>
  <c r="E18" i="22" s="1"/>
  <c r="C15" i="22"/>
  <c r="C16" i="22" s="1"/>
  <c r="B14" i="22"/>
  <c r="B13" i="22"/>
  <c r="B12" i="22" s="1"/>
  <c r="B28" i="27" l="1"/>
  <c r="B28" i="26"/>
  <c r="B29" i="25"/>
  <c r="J20" i="26"/>
  <c r="D14" i="26"/>
  <c r="J5" i="27"/>
  <c r="H5" i="27"/>
  <c r="J18" i="26"/>
  <c r="L6" i="26" s="1"/>
  <c r="J19" i="26"/>
  <c r="C16" i="25"/>
  <c r="C20" i="25" s="1"/>
  <c r="J20" i="25" s="1"/>
  <c r="E18" i="27"/>
  <c r="J17" i="26"/>
  <c r="L5" i="26" s="1"/>
  <c r="L7" i="26" s="1"/>
  <c r="L10" i="26" s="1"/>
  <c r="J8" i="26" s="1"/>
  <c r="H10" i="25"/>
  <c r="E15" i="27"/>
  <c r="B28" i="24"/>
  <c r="B28" i="23"/>
  <c r="J15" i="23"/>
  <c r="H5" i="23"/>
  <c r="J18" i="23"/>
  <c r="L6" i="23" s="1"/>
  <c r="J20" i="23"/>
  <c r="C20" i="22"/>
  <c r="J20" i="22" s="1"/>
  <c r="D14" i="23"/>
  <c r="H5" i="24"/>
  <c r="J5" i="24"/>
  <c r="C20" i="24"/>
  <c r="J17" i="23"/>
  <c r="L5" i="23" s="1"/>
  <c r="L7" i="23" s="1"/>
  <c r="L10" i="23" s="1"/>
  <c r="H8" i="23" s="1"/>
  <c r="J8" i="23"/>
  <c r="J19" i="22"/>
  <c r="E15" i="24"/>
  <c r="E15" i="22"/>
  <c r="B29" i="27" l="1"/>
  <c r="B29" i="26"/>
  <c r="H6" i="25"/>
  <c r="H11" i="25"/>
  <c r="J15" i="25"/>
  <c r="H8" i="26"/>
  <c r="D14" i="25"/>
  <c r="H12" i="25"/>
  <c r="J15" i="26"/>
  <c r="J5" i="26"/>
  <c r="J7" i="26" s="1"/>
  <c r="J9" i="26" s="1"/>
  <c r="H5" i="26"/>
  <c r="C20" i="27"/>
  <c r="J20" i="27" s="1"/>
  <c r="J18" i="27"/>
  <c r="L6" i="27" s="1"/>
  <c r="L7" i="27" s="1"/>
  <c r="L10" i="27" s="1"/>
  <c r="J6" i="26"/>
  <c r="H6" i="26"/>
  <c r="B29" i="24"/>
  <c r="B29" i="23"/>
  <c r="H10" i="22"/>
  <c r="H4" i="22"/>
  <c r="J20" i="24"/>
  <c r="J18" i="24"/>
  <c r="L6" i="24" s="1"/>
  <c r="L7" i="24" s="1"/>
  <c r="L10" i="24" s="1"/>
  <c r="D14" i="22"/>
  <c r="H7" i="23"/>
  <c r="H9" i="23" s="1"/>
  <c r="J15" i="22"/>
  <c r="H9" i="22"/>
  <c r="H3" i="22"/>
  <c r="J6" i="23"/>
  <c r="H6" i="23"/>
  <c r="H2" i="23" s="1"/>
  <c r="D14" i="24"/>
  <c r="J5" i="23"/>
  <c r="J7" i="23" s="1"/>
  <c r="J9" i="23" s="1"/>
  <c r="I4" i="25" l="1"/>
  <c r="H7" i="25"/>
  <c r="H8" i="27"/>
  <c r="J8" i="27"/>
  <c r="D14" i="27"/>
  <c r="J6" i="27"/>
  <c r="J7" i="27" s="1"/>
  <c r="J9" i="27" s="1"/>
  <c r="H6" i="27"/>
  <c r="J15" i="27"/>
  <c r="H2" i="26"/>
  <c r="H7" i="26"/>
  <c r="H9" i="26" s="1"/>
  <c r="C28" i="22"/>
  <c r="C29" i="22" s="1"/>
  <c r="B28" i="22"/>
  <c r="J8" i="24"/>
  <c r="H8" i="24"/>
  <c r="H5" i="22"/>
  <c r="I2" i="22"/>
  <c r="J6" i="24"/>
  <c r="J7" i="24" s="1"/>
  <c r="J9" i="24" s="1"/>
  <c r="H6" i="24"/>
  <c r="J15" i="24"/>
  <c r="H11" i="22"/>
  <c r="H7" i="27" l="1"/>
  <c r="H9" i="27" s="1"/>
  <c r="H2" i="27"/>
  <c r="B29" i="22"/>
  <c r="H2" i="24"/>
  <c r="H7" i="24"/>
  <c r="H9" i="24" s="1"/>
  <c r="B27" i="20" l="1"/>
  <c r="J15" i="20"/>
  <c r="J20" i="20"/>
  <c r="J19" i="20"/>
  <c r="J19" i="19"/>
  <c r="H5" i="19" s="1"/>
  <c r="C24" i="3"/>
  <c r="C15" i="3"/>
  <c r="C16" i="3"/>
  <c r="H16" i="3"/>
  <c r="E15" i="3"/>
  <c r="C27" i="19"/>
  <c r="B27" i="19"/>
  <c r="D25" i="19"/>
  <c r="C27" i="20"/>
  <c r="E19" i="20"/>
  <c r="C19" i="20"/>
  <c r="C15" i="20"/>
  <c r="C16" i="20" s="1"/>
  <c r="E20" i="19"/>
  <c r="E19" i="19"/>
  <c r="C19" i="19"/>
  <c r="C15" i="19"/>
  <c r="H5" i="20" l="1"/>
  <c r="E15" i="20"/>
  <c r="H10" i="20"/>
  <c r="E20" i="20"/>
  <c r="E15" i="19"/>
  <c r="C16" i="19"/>
  <c r="C20" i="20" l="1"/>
  <c r="H10" i="19"/>
  <c r="C20" i="19"/>
  <c r="J20" i="19" s="1"/>
  <c r="H11" i="19" s="1"/>
  <c r="H12" i="19" l="1"/>
  <c r="D14" i="20"/>
  <c r="H11" i="20"/>
  <c r="H12" i="20" s="1"/>
  <c r="H6" i="20"/>
  <c r="B28" i="20"/>
  <c r="J15" i="19"/>
  <c r="D14" i="19"/>
  <c r="H6" i="19"/>
  <c r="H7" i="19" s="1"/>
  <c r="C28" i="19" l="1"/>
  <c r="C29" i="19" s="1"/>
  <c r="B28" i="19"/>
  <c r="C28" i="20"/>
  <c r="C29" i="20" s="1"/>
  <c r="I4" i="20"/>
  <c r="H7" i="20"/>
  <c r="I4" i="19"/>
  <c r="B29" i="19" l="1"/>
  <c r="D28" i="19"/>
  <c r="B29" i="20"/>
  <c r="J19" i="3"/>
  <c r="H19" i="3"/>
  <c r="H15" i="3"/>
  <c r="C19" i="3"/>
  <c r="E19" i="3"/>
  <c r="E38" i="3"/>
  <c r="J38" i="3" l="1"/>
  <c r="H24" i="3" s="1"/>
  <c r="C29" i="3"/>
  <c r="E20" i="3"/>
  <c r="J15" i="3"/>
  <c r="H29" i="3" s="1"/>
  <c r="J20" i="3"/>
  <c r="C20" i="3" l="1"/>
  <c r="H20" i="3"/>
  <c r="E34" i="3" s="1"/>
  <c r="D14" i="3"/>
  <c r="E39" i="3" l="1"/>
  <c r="C25" i="3" s="1"/>
  <c r="C30" i="3"/>
  <c r="C31" i="3" s="1"/>
  <c r="I14" i="3"/>
  <c r="H30" i="3"/>
  <c r="H31" i="3" s="1"/>
  <c r="J39" i="3"/>
  <c r="H25" i="3" s="1"/>
  <c r="J34" i="3"/>
  <c r="C26" i="3"/>
  <c r="H26" i="3" l="1"/>
  <c r="F23" i="3"/>
</calcChain>
</file>

<file path=xl/sharedStrings.xml><?xml version="1.0" encoding="utf-8"?>
<sst xmlns="http://schemas.openxmlformats.org/spreadsheetml/2006/main" count="600" uniqueCount="60">
  <si>
    <t>材料費</t>
    <phoneticPr fontId="3" type="noConversion"/>
  </si>
  <si>
    <t>労務費</t>
    <phoneticPr fontId="3" type="noConversion"/>
  </si>
  <si>
    <t>当期投下</t>
    <phoneticPr fontId="3" type="noConversion"/>
  </si>
  <si>
    <t>期首繰越</t>
    <phoneticPr fontId="3" type="noConversion"/>
  </si>
  <si>
    <t>期首繰越実在</t>
    <phoneticPr fontId="3" type="noConversion"/>
  </si>
  <si>
    <t>期首繰越進捗換算</t>
    <phoneticPr fontId="3" type="noConversion"/>
  </si>
  <si>
    <t>当期投下実在</t>
    <phoneticPr fontId="3" type="noConversion"/>
  </si>
  <si>
    <t>当期投下進捗換算</t>
    <phoneticPr fontId="3" type="noConversion"/>
  </si>
  <si>
    <t>当期完成</t>
    <phoneticPr fontId="3" type="noConversion"/>
  </si>
  <si>
    <t>期末繰越実在</t>
    <phoneticPr fontId="3" type="noConversion"/>
  </si>
  <si>
    <t>期末繰越進捗換算</t>
    <phoneticPr fontId="3" type="noConversion"/>
  </si>
  <si>
    <t>ボックス</t>
    <phoneticPr fontId="3" type="noConversion"/>
  </si>
  <si>
    <t>期末棚卸資産製造原価</t>
    <phoneticPr fontId="3" type="noConversion"/>
  </si>
  <si>
    <t>i.材料費</t>
    <phoneticPr fontId="3" type="noConversion"/>
  </si>
  <si>
    <t>期末完成品製造原価</t>
    <phoneticPr fontId="3" type="noConversion"/>
  </si>
  <si>
    <t>要らない</t>
    <phoneticPr fontId="3" type="noConversion"/>
  </si>
  <si>
    <t>一致確認</t>
    <phoneticPr fontId="3" type="noConversion"/>
  </si>
  <si>
    <t>合計</t>
    <phoneticPr fontId="3" type="noConversion"/>
  </si>
  <si>
    <t>期首進捗</t>
    <phoneticPr fontId="3" type="noConversion"/>
  </si>
  <si>
    <t>期末進捗</t>
    <phoneticPr fontId="3" type="noConversion"/>
  </si>
  <si>
    <t>期首実在</t>
    <phoneticPr fontId="3" type="noConversion"/>
  </si>
  <si>
    <t>期末実在</t>
    <phoneticPr fontId="3" type="noConversion"/>
  </si>
  <si>
    <t>=必ず入力すること</t>
    <phoneticPr fontId="3" type="noConversion"/>
  </si>
  <si>
    <t>=自動判定のため、いじるな</t>
    <phoneticPr fontId="3" type="noConversion"/>
  </si>
  <si>
    <t>=必要に応じて入力</t>
    <phoneticPr fontId="3" type="noConversion"/>
  </si>
  <si>
    <r>
      <rPr>
        <sz val="11"/>
        <color theme="1"/>
        <rFont val="游ゴシック"/>
        <family val="2"/>
        <charset val="128"/>
      </rPr>
      <t>X</t>
    </r>
    <r>
      <rPr>
        <sz val="11"/>
        <color theme="1"/>
        <rFont val="等线"/>
        <family val="2"/>
        <charset val="134"/>
        <scheme val="minor"/>
      </rPr>
      <t>ボックス（換算後）</t>
    </r>
    <phoneticPr fontId="3" type="noConversion"/>
  </si>
  <si>
    <r>
      <rPr>
        <sz val="11"/>
        <color theme="1"/>
        <rFont val="游ゴシック"/>
        <family val="2"/>
        <charset val="128"/>
      </rPr>
      <t>Y</t>
    </r>
    <r>
      <rPr>
        <sz val="11"/>
        <color theme="1"/>
        <rFont val="等线"/>
        <family val="2"/>
        <charset val="134"/>
        <scheme val="minor"/>
      </rPr>
      <t>ボックス（換算後）</t>
    </r>
    <phoneticPr fontId="3" type="noConversion"/>
  </si>
  <si>
    <t>進捗換算係数</t>
    <phoneticPr fontId="3" type="noConversion"/>
  </si>
  <si>
    <t>実在換算係数</t>
    <phoneticPr fontId="3" type="noConversion"/>
  </si>
  <si>
    <t>←インプット
アウトプット→</t>
    <phoneticPr fontId="3" type="noConversion"/>
  </si>
  <si>
    <t>X</t>
    <phoneticPr fontId="3" type="noConversion"/>
  </si>
  <si>
    <t>Y</t>
    <phoneticPr fontId="3" type="noConversion"/>
  </si>
  <si>
    <t>当期完成品</t>
    <phoneticPr fontId="3" type="noConversion"/>
  </si>
  <si>
    <t>等価係数</t>
    <phoneticPr fontId="3" type="noConversion"/>
  </si>
  <si>
    <r>
      <t>当期完成品</t>
    </r>
    <r>
      <rPr>
        <sz val="11"/>
        <color theme="1"/>
        <rFont val="游ゴシック"/>
        <family val="2"/>
        <charset val="128"/>
      </rPr>
      <t>(</t>
    </r>
    <r>
      <rPr>
        <sz val="11"/>
        <color theme="1"/>
        <rFont val="等线"/>
        <family val="2"/>
        <charset val="134"/>
        <scheme val="minor"/>
      </rPr>
      <t>換算）</t>
    </r>
    <phoneticPr fontId="3" type="noConversion"/>
  </si>
  <si>
    <t>当期製造原価</t>
    <phoneticPr fontId="3" type="noConversion"/>
  </si>
  <si>
    <t>当期１個当たり製造原価</t>
    <phoneticPr fontId="3" type="noConversion"/>
  </si>
  <si>
    <t>CHECK</t>
    <phoneticPr fontId="3" type="noConversion"/>
  </si>
  <si>
    <t>↓必ず入力すること</t>
    <phoneticPr fontId="3" type="noConversion"/>
  </si>
  <si>
    <t>平均投入材料費</t>
    <phoneticPr fontId="3" type="noConversion"/>
  </si>
  <si>
    <t>★平均投入材料費は必要に応じて入力</t>
    <phoneticPr fontId="3" type="noConversion"/>
  </si>
  <si>
    <t>仕損品評価額</t>
    <phoneticPr fontId="3" type="noConversion"/>
  </si>
  <si>
    <t>★平均投入は必要応じて入れること</t>
    <phoneticPr fontId="3" type="noConversion"/>
  </si>
  <si>
    <t>仕損進捗</t>
    <phoneticPr fontId="3" type="noConversion"/>
  </si>
  <si>
    <t>仕損実在</t>
    <phoneticPr fontId="3" type="noConversion"/>
  </si>
  <si>
    <t>仕損負担判定</t>
    <phoneticPr fontId="3" type="noConversion"/>
  </si>
  <si>
    <t>★平均発生は常に「期末負担要」を強制記入する</t>
    <phoneticPr fontId="3" type="noConversion"/>
  </si>
  <si>
    <t>期末</t>
    <phoneticPr fontId="3" type="noConversion"/>
  </si>
  <si>
    <t>仕損発生点</t>
    <phoneticPr fontId="3" type="noConversion"/>
  </si>
  <si>
    <t>仕損進捗換算</t>
    <phoneticPr fontId="3" type="noConversion"/>
  </si>
  <si>
    <t>配賦必要仕損費</t>
    <phoneticPr fontId="3" type="noConversion"/>
  </si>
  <si>
    <t>仕損配賦費</t>
    <phoneticPr fontId="3" type="noConversion"/>
  </si>
  <si>
    <r>
      <t>仕損材料評価額</t>
    </r>
    <r>
      <rPr>
        <b/>
        <sz val="11"/>
        <color rgb="FFFF0000"/>
        <rFont val="游ゴシック"/>
        <family val="3"/>
        <charset val="128"/>
      </rPr>
      <t>(必ず▲）</t>
    </r>
    <phoneticPr fontId="3" type="noConversion"/>
  </si>
  <si>
    <t>配賦後原価</t>
    <phoneticPr fontId="3" type="noConversion"/>
  </si>
  <si>
    <r>
      <t>仕損加工評価額</t>
    </r>
    <r>
      <rPr>
        <b/>
        <sz val="11"/>
        <color rgb="FFFF0000"/>
        <rFont val="游ゴシック"/>
        <family val="3"/>
        <charset val="128"/>
      </rPr>
      <t>(必ず▲）</t>
    </r>
    <phoneticPr fontId="3" type="noConversion"/>
  </si>
  <si>
    <r>
      <t>仕損評価額</t>
    </r>
    <r>
      <rPr>
        <b/>
        <sz val="11"/>
        <color rgb="FFFF0000"/>
        <rFont val="游ゴシック"/>
        <family val="3"/>
        <charset val="128"/>
      </rPr>
      <t>(必ず▲）</t>
    </r>
    <phoneticPr fontId="3" type="noConversion"/>
  </si>
  <si>
    <t>期末負担要</t>
  </si>
  <si>
    <t>平均発生は常に負担要</t>
    <phoneticPr fontId="3" type="noConversion"/>
  </si>
  <si>
    <t>ii.労務費、平均投入材料費</t>
  </si>
  <si>
    <t>★平均投入は必要応じて入れること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</si>
</sst>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#,##0_);\(#,##0\)"/>
    <numFmt numFmtId="177" formatCode="#,##0_ "/>
    <numFmt numFmtId="178" formatCode="#,##0.0_);\(#,##0.0\)"/>
    <numFmt numFmtId="179" formatCode="#,##0.00_);\(#,##0.00\)"/>
  </numFmts>
  <fonts count="9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28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游ゴシック"/>
      <family val="2"/>
      <charset val="128"/>
    </font>
    <font>
      <b/>
      <sz val="11"/>
      <color rgb="FFFF0000"/>
      <name val="游ゴシック"/>
      <family val="3"/>
      <charset val="128"/>
    </font>
    <font>
      <sz val="9"/>
      <color theme="1"/>
      <name val="等线"/>
      <family val="3"/>
      <charset val="128"/>
      <scheme val="minor"/>
    </font>
    <font>
      <b/>
      <sz val="11"/>
      <color rgb="FFFF0000"/>
      <name val="等线"/>
      <family val="3"/>
      <charset val="128"/>
      <scheme val="minor"/>
    </font>
    <font>
      <sz val="11"/>
      <color theme="1"/>
      <name val="等线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177" fontId="7" fillId="6" borderId="0" xfId="1" applyNumberFormat="1" applyFont="1" applyFill="1" applyAlignment="1" applyProtection="1">
      <alignment horizontal="center" vertical="top" wrapText="1"/>
      <protection hidden="1"/>
    </xf>
    <xf numFmtId="0" fontId="0" fillId="2" borderId="0" xfId="0" applyFill="1" applyProtection="1">
      <alignment vertical="center"/>
      <protection locked="0"/>
    </xf>
    <xf numFmtId="0" fontId="5" fillId="0" borderId="0" xfId="0" quotePrefix="1" applyFont="1" applyProtection="1">
      <alignment vertical="center"/>
      <protection locked="0"/>
    </xf>
    <xf numFmtId="0" fontId="0" fillId="4" borderId="0" xfId="0" applyFill="1" applyProtection="1">
      <alignment vertical="center"/>
      <protection locked="0"/>
    </xf>
    <xf numFmtId="0" fontId="0" fillId="5" borderId="0" xfId="0" applyFill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176" fontId="0" fillId="2" borderId="0" xfId="1" applyNumberFormat="1" applyFont="1" applyFill="1" applyProtection="1">
      <alignment vertical="center"/>
      <protection locked="0"/>
    </xf>
    <xf numFmtId="0" fontId="4" fillId="2" borderId="0" xfId="0" applyFont="1" applyFill="1" applyProtection="1">
      <alignment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3" fontId="0" fillId="2" borderId="0" xfId="0" applyNumberFormat="1" applyFill="1" applyProtection="1">
      <alignment vertical="center"/>
      <protection locked="0"/>
    </xf>
    <xf numFmtId="3" fontId="0" fillId="0" borderId="0" xfId="0" applyNumberFormat="1" applyProtection="1">
      <alignment vertical="center"/>
      <protection locked="0"/>
    </xf>
    <xf numFmtId="177" fontId="0" fillId="2" borderId="0" xfId="0" applyNumberFormat="1" applyFill="1" applyAlignment="1" applyProtection="1">
      <alignment horizontal="right" vertical="top"/>
      <protection locked="0"/>
    </xf>
    <xf numFmtId="177" fontId="0" fillId="0" borderId="0" xfId="0" applyNumberFormat="1" applyAlignment="1" applyProtection="1">
      <alignment horizontal="right" vertical="top"/>
      <protection locked="0"/>
    </xf>
    <xf numFmtId="0" fontId="0" fillId="0" borderId="1" xfId="0" applyBorder="1" applyProtection="1">
      <alignment vertical="center"/>
      <protection locked="0"/>
    </xf>
    <xf numFmtId="0" fontId="1" fillId="0" borderId="1" xfId="0" applyFont="1" applyBorder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4" fillId="0" borderId="5" xfId="0" applyFont="1" applyBorder="1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4" fillId="0" borderId="7" xfId="0" applyFont="1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176" fontId="0" fillId="0" borderId="10" xfId="0" applyNumberFormat="1" applyBorder="1" applyProtection="1">
      <alignment vertical="center"/>
      <protection locked="0"/>
    </xf>
    <xf numFmtId="0" fontId="4" fillId="0" borderId="11" xfId="0" applyFont="1" applyBorder="1" applyProtection="1">
      <alignment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4" fillId="0" borderId="8" xfId="0" applyFont="1" applyBorder="1" applyProtection="1">
      <alignment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7" fillId="0" borderId="0" xfId="0" applyFont="1" applyProtection="1">
      <alignment vertical="center"/>
      <protection hidden="1"/>
    </xf>
    <xf numFmtId="176" fontId="0" fillId="6" borderId="9" xfId="0" applyNumberFormat="1" applyFill="1" applyBorder="1" applyProtection="1">
      <alignment vertical="center"/>
      <protection hidden="1"/>
    </xf>
    <xf numFmtId="176" fontId="0" fillId="6" borderId="6" xfId="0" applyNumberFormat="1" applyFill="1" applyBorder="1" applyProtection="1">
      <alignment vertical="center"/>
      <protection hidden="1"/>
    </xf>
    <xf numFmtId="176" fontId="0" fillId="6" borderId="7" xfId="0" applyNumberFormat="1" applyFill="1" applyBorder="1" applyProtection="1">
      <alignment vertical="center"/>
      <protection hidden="1"/>
    </xf>
    <xf numFmtId="176" fontId="0" fillId="6" borderId="11" xfId="0" applyNumberFormat="1" applyFill="1" applyBorder="1" applyProtection="1">
      <alignment vertical="center"/>
      <protection hidden="1"/>
    </xf>
    <xf numFmtId="176" fontId="0" fillId="6" borderId="0" xfId="0" applyNumberFormat="1" applyFill="1" applyProtection="1">
      <alignment vertical="center"/>
      <protection hidden="1"/>
    </xf>
    <xf numFmtId="176" fontId="0" fillId="6" borderId="5" xfId="0" applyNumberFormat="1" applyFill="1" applyBorder="1" applyProtection="1">
      <alignment vertical="center"/>
      <protection hidden="1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176" fontId="4" fillId="0" borderId="0" xfId="0" applyNumberFormat="1" applyFont="1" applyProtection="1">
      <alignment vertical="center"/>
      <protection locked="0"/>
    </xf>
    <xf numFmtId="176" fontId="0" fillId="2" borderId="0" xfId="0" applyNumberFormat="1" applyFill="1" applyProtection="1">
      <alignment vertical="center"/>
      <protection locked="0"/>
    </xf>
    <xf numFmtId="179" fontId="0" fillId="2" borderId="0" xfId="0" applyNumberFormat="1" applyFill="1" applyProtection="1">
      <alignment vertical="center"/>
      <protection locked="0"/>
    </xf>
    <xf numFmtId="0" fontId="0" fillId="0" borderId="0" xfId="0" applyAlignment="1" applyProtection="1">
      <protection locked="0"/>
    </xf>
    <xf numFmtId="0" fontId="0" fillId="0" borderId="0" xfId="0" applyProtection="1">
      <alignment vertical="center"/>
      <protection hidden="1"/>
    </xf>
    <xf numFmtId="0" fontId="0" fillId="6" borderId="0" xfId="0" applyFill="1" applyProtection="1">
      <alignment vertical="center"/>
      <protection hidden="1"/>
    </xf>
    <xf numFmtId="176" fontId="0" fillId="0" borderId="0" xfId="1" applyNumberFormat="1" applyFont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0" fontId="4" fillId="0" borderId="12" xfId="0" applyFont="1" applyBorder="1" applyProtection="1">
      <alignment vertical="center"/>
      <protection locked="0"/>
    </xf>
    <xf numFmtId="176" fontId="0" fillId="0" borderId="0" xfId="0" applyNumberFormat="1" applyProtection="1">
      <alignment vertical="center"/>
      <protection hidden="1"/>
    </xf>
    <xf numFmtId="0" fontId="4" fillId="0" borderId="0" xfId="0" applyFont="1" applyProtection="1">
      <alignment vertical="center"/>
      <protection hidden="1"/>
    </xf>
    <xf numFmtId="9" fontId="0" fillId="0" borderId="0" xfId="0" applyNumberFormat="1" applyProtection="1">
      <alignment vertical="center"/>
      <protection hidden="1"/>
    </xf>
    <xf numFmtId="9" fontId="0" fillId="0" borderId="1" xfId="0" applyNumberFormat="1" applyBorder="1" applyProtection="1">
      <alignment vertical="center"/>
      <protection hidden="1"/>
    </xf>
    <xf numFmtId="176" fontId="0" fillId="0" borderId="9" xfId="0" applyNumberFormat="1" applyBorder="1" applyProtection="1">
      <alignment vertical="center"/>
      <protection hidden="1"/>
    </xf>
    <xf numFmtId="176" fontId="0" fillId="0" borderId="5" xfId="0" applyNumberFormat="1" applyBorder="1" applyProtection="1">
      <alignment vertical="center"/>
      <protection hidden="1"/>
    </xf>
    <xf numFmtId="176" fontId="0" fillId="0" borderId="6" xfId="0" applyNumberFormat="1" applyBorder="1" applyProtection="1">
      <alignment vertical="center"/>
      <protection hidden="1"/>
    </xf>
    <xf numFmtId="176" fontId="0" fillId="0" borderId="7" xfId="0" applyNumberFormat="1" applyBorder="1" applyProtection="1">
      <alignment vertical="center"/>
      <protection hidden="1"/>
    </xf>
    <xf numFmtId="0" fontId="0" fillId="0" borderId="3" xfId="0" applyBorder="1" applyProtection="1">
      <alignment vertical="center"/>
      <protection hidden="1"/>
    </xf>
    <xf numFmtId="176" fontId="8" fillId="0" borderId="6" xfId="0" applyNumberFormat="1" applyFont="1" applyBorder="1" applyProtection="1">
      <alignment vertical="center"/>
      <protection hidden="1"/>
    </xf>
    <xf numFmtId="176" fontId="8" fillId="0" borderId="5" xfId="0" applyNumberFormat="1" applyFont="1" applyBorder="1" applyProtection="1">
      <alignment vertical="center"/>
      <protection hidden="1"/>
    </xf>
    <xf numFmtId="0" fontId="4" fillId="5" borderId="0" xfId="0" applyFont="1" applyFill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7" fillId="7" borderId="0" xfId="0" applyFont="1" applyFill="1" applyProtection="1">
      <alignment vertical="center"/>
      <protection hidden="1"/>
    </xf>
    <xf numFmtId="176" fontId="0" fillId="7" borderId="0" xfId="0" applyNumberFormat="1" applyFill="1" applyProtection="1">
      <alignment vertical="center"/>
      <protection hidden="1"/>
    </xf>
    <xf numFmtId="41" fontId="0" fillId="7" borderId="0" xfId="1" applyFont="1" applyFill="1" applyProtection="1">
      <alignment vertical="center"/>
      <protection hidden="1"/>
    </xf>
    <xf numFmtId="0" fontId="4" fillId="7" borderId="0" xfId="0" applyFont="1" applyFill="1" applyProtection="1">
      <alignment vertical="center"/>
      <protection hidden="1"/>
    </xf>
    <xf numFmtId="9" fontId="0" fillId="7" borderId="0" xfId="0" applyNumberFormat="1" applyFill="1" applyProtection="1">
      <alignment vertical="center"/>
      <protection hidden="1"/>
    </xf>
    <xf numFmtId="9" fontId="0" fillId="7" borderId="1" xfId="0" applyNumberFormat="1" applyFill="1" applyBorder="1" applyProtection="1">
      <alignment vertical="center"/>
      <protection hidden="1"/>
    </xf>
    <xf numFmtId="176" fontId="0" fillId="7" borderId="9" xfId="0" applyNumberFormat="1" applyFill="1" applyBorder="1" applyProtection="1">
      <alignment vertical="center"/>
      <protection hidden="1"/>
    </xf>
    <xf numFmtId="176" fontId="0" fillId="7" borderId="6" xfId="0" applyNumberFormat="1" applyFill="1" applyBorder="1" applyProtection="1">
      <alignment vertical="center"/>
      <protection hidden="1"/>
    </xf>
    <xf numFmtId="176" fontId="0" fillId="7" borderId="7" xfId="0" applyNumberFormat="1" applyFill="1" applyBorder="1" applyProtection="1">
      <alignment vertical="center"/>
      <protection hidden="1"/>
    </xf>
    <xf numFmtId="0" fontId="0" fillId="7" borderId="3" xfId="0" applyFill="1" applyBorder="1" applyProtection="1">
      <alignment vertical="center"/>
      <protection hidden="1"/>
    </xf>
    <xf numFmtId="0" fontId="0" fillId="7" borderId="10" xfId="0" applyFill="1" applyBorder="1" applyProtection="1">
      <alignment vertical="center"/>
      <protection hidden="1"/>
    </xf>
    <xf numFmtId="176" fontId="0" fillId="7" borderId="5" xfId="0" applyNumberForma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7" fillId="4" borderId="0" xfId="0" applyFont="1" applyFill="1" applyProtection="1">
      <alignment vertical="center"/>
      <protection hidden="1"/>
    </xf>
    <xf numFmtId="176" fontId="0" fillId="4" borderId="0" xfId="0" applyNumberFormat="1" applyFill="1" applyProtection="1">
      <alignment vertical="center"/>
      <protection hidden="1"/>
    </xf>
    <xf numFmtId="41" fontId="0" fillId="4" borderId="0" xfId="1" applyFont="1" applyFill="1" applyProtection="1">
      <alignment vertical="center"/>
      <protection hidden="1"/>
    </xf>
    <xf numFmtId="176" fontId="0" fillId="4" borderId="9" xfId="0" applyNumberFormat="1" applyFill="1" applyBorder="1" applyProtection="1">
      <alignment vertical="center"/>
      <protection hidden="1"/>
    </xf>
    <xf numFmtId="176" fontId="0" fillId="4" borderId="6" xfId="0" applyNumberFormat="1" applyFill="1" applyBorder="1" applyProtection="1">
      <alignment vertical="center"/>
      <protection hidden="1"/>
    </xf>
    <xf numFmtId="176" fontId="0" fillId="4" borderId="7" xfId="0" applyNumberFormat="1" applyFill="1" applyBorder="1" applyProtection="1">
      <alignment vertical="center"/>
      <protection hidden="1"/>
    </xf>
    <xf numFmtId="0" fontId="0" fillId="4" borderId="3" xfId="0" applyFill="1" applyBorder="1" applyProtection="1">
      <alignment vertical="center"/>
      <protection hidden="1"/>
    </xf>
    <xf numFmtId="0" fontId="0" fillId="4" borderId="10" xfId="0" applyFill="1" applyBorder="1" applyProtection="1">
      <alignment vertical="center"/>
      <protection hidden="1"/>
    </xf>
    <xf numFmtId="176" fontId="0" fillId="4" borderId="5" xfId="0" applyNumberFormat="1" applyFill="1" applyBorder="1" applyProtection="1">
      <alignment vertical="center"/>
      <protection hidden="1"/>
    </xf>
    <xf numFmtId="178" fontId="0" fillId="2" borderId="0" xfId="0" applyNumberFormat="1" applyFill="1" applyProtection="1">
      <alignment vertical="center"/>
      <protection locked="0"/>
    </xf>
    <xf numFmtId="176" fontId="0" fillId="0" borderId="11" xfId="0" applyNumberFormat="1" applyBorder="1" applyProtection="1">
      <alignment vertical="center"/>
      <protection hidden="1"/>
    </xf>
    <xf numFmtId="0" fontId="0" fillId="4" borderId="6" xfId="0" applyFill="1" applyBorder="1" applyProtection="1">
      <alignment vertical="center"/>
      <protection hidden="1"/>
    </xf>
    <xf numFmtId="176" fontId="0" fillId="4" borderId="11" xfId="0" applyNumberFormat="1" applyFill="1" applyBorder="1" applyProtection="1">
      <alignment vertical="center"/>
      <protection hidden="1"/>
    </xf>
    <xf numFmtId="176" fontId="0" fillId="5" borderId="0" xfId="0" applyNumberFormat="1" applyFill="1" applyProtection="1">
      <alignment vertical="center"/>
      <protection locked="0"/>
    </xf>
    <xf numFmtId="0" fontId="0" fillId="7" borderId="6" xfId="0" applyFill="1" applyBorder="1" applyProtection="1">
      <alignment vertical="center"/>
      <protection hidden="1"/>
    </xf>
    <xf numFmtId="176" fontId="0" fillId="7" borderId="11" xfId="0" applyNumberFormat="1" applyFill="1" applyBorder="1" applyProtection="1">
      <alignment vertical="center"/>
      <protection hidden="1"/>
    </xf>
    <xf numFmtId="0" fontId="0" fillId="7" borderId="7" xfId="0" applyFill="1" applyBorder="1" applyProtection="1">
      <alignment vertical="center"/>
      <protection hidden="1"/>
    </xf>
    <xf numFmtId="0" fontId="0" fillId="4" borderId="7" xfId="0" applyFill="1" applyBorder="1" applyProtection="1">
      <alignment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7155F-6543-45B7-B6EE-73B4B66F9AAA}">
  <sheetPr codeName="Sheet12">
    <tabColor rgb="FFFF0000"/>
  </sheetPr>
  <dimension ref="A1"/>
  <sheetViews>
    <sheetView workbookViewId="0">
      <selection activeCell="C40" sqref="C40"/>
    </sheetView>
  </sheetViews>
  <sheetFormatPr defaultRowHeight="12.75"/>
  <sheetData/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76B52-8899-4289-B35F-E4704DB095ED}">
  <sheetPr codeName="Sheet10"/>
  <dimension ref="A1:M34"/>
  <sheetViews>
    <sheetView zoomScale="85" zoomScaleNormal="85" workbookViewId="0">
      <selection activeCell="H2" sqref="H2 L5:L7 H5:H9 J5:J9 L10 B12:B14 D14 E15 J15 C15:C16 C19:C20 E17:E20 J17:J20 G23:J25 D25 B27:C27 B28:D28 B29:C29 A31:D33"/>
    </sheetView>
  </sheetViews>
  <sheetFormatPr defaultRowHeight="12.75"/>
  <cols>
    <col min="1" max="1" width="9.06640625" style="1"/>
    <col min="2" max="2" width="16.9296875" style="1" bestFit="1" customWidth="1"/>
    <col min="3" max="3" width="16.9296875" style="1" customWidth="1"/>
    <col min="4" max="5" width="16.9296875" style="1" bestFit="1" customWidth="1"/>
    <col min="6" max="6" width="16.33203125" style="1" customWidth="1"/>
    <col min="7" max="7" width="27.06640625" style="1" customWidth="1"/>
    <col min="8" max="8" width="17.265625" style="1" customWidth="1"/>
    <col min="9" max="9" width="16.9296875" style="1" bestFit="1" customWidth="1"/>
    <col min="10" max="10" width="20" style="1" customWidth="1"/>
    <col min="11" max="11" width="24.265625" style="1" customWidth="1"/>
    <col min="12" max="12" width="12.19921875" style="1" bestFit="1" customWidth="1"/>
    <col min="13" max="16384" width="9.06640625" style="1"/>
  </cols>
  <sheetData>
    <row r="1" spans="1:13" ht="17.649999999999999">
      <c r="A1" s="3"/>
      <c r="B1" s="4" t="s">
        <v>22</v>
      </c>
      <c r="C1" s="5"/>
      <c r="D1" s="4" t="s">
        <v>23</v>
      </c>
      <c r="F1" s="39" t="s">
        <v>29</v>
      </c>
      <c r="H1" s="1" t="s">
        <v>16</v>
      </c>
    </row>
    <row r="2" spans="1:13" ht="17.649999999999999">
      <c r="A2" s="1" t="s">
        <v>2</v>
      </c>
      <c r="C2" s="6"/>
      <c r="D2" s="4" t="s">
        <v>24</v>
      </c>
      <c r="F2" s="40"/>
      <c r="H2" s="67" t="b">
        <f>SUM(H5:H6)+SUM(L5:L6)+SUM(J5:J6)=SUM(B3:B10)</f>
        <v>1</v>
      </c>
    </row>
    <row r="3" spans="1:13" ht="17.649999999999999">
      <c r="A3" s="7" t="s">
        <v>0</v>
      </c>
      <c r="B3" s="8">
        <v>1380000</v>
      </c>
      <c r="D3" s="1" t="s">
        <v>18</v>
      </c>
      <c r="E3" s="9">
        <v>0.4</v>
      </c>
      <c r="F3" s="40"/>
    </row>
    <row r="4" spans="1:13" ht="17.649999999999999" customHeight="1">
      <c r="A4" s="1" t="s">
        <v>1</v>
      </c>
      <c r="B4" s="8">
        <v>2070000</v>
      </c>
      <c r="C4" s="10" t="s">
        <v>42</v>
      </c>
      <c r="D4" s="1" t="s">
        <v>19</v>
      </c>
      <c r="E4" s="3">
        <v>0.75</v>
      </c>
      <c r="F4" s="40"/>
      <c r="G4" s="1" t="s">
        <v>12</v>
      </c>
      <c r="I4" s="1" t="s">
        <v>14</v>
      </c>
      <c r="K4" s="1" t="s">
        <v>50</v>
      </c>
      <c r="M4" s="7"/>
    </row>
    <row r="5" spans="1:13" ht="17.649999999999999">
      <c r="A5" s="7" t="s">
        <v>39</v>
      </c>
      <c r="B5" s="8"/>
      <c r="C5" s="10"/>
      <c r="D5" s="1" t="s">
        <v>43</v>
      </c>
      <c r="E5" s="3">
        <v>0.5</v>
      </c>
      <c r="F5" s="40"/>
      <c r="G5" s="7" t="s">
        <v>13</v>
      </c>
      <c r="H5" s="68">
        <f>J19</f>
        <v>441600</v>
      </c>
      <c r="I5" s="7" t="s">
        <v>13</v>
      </c>
      <c r="J5" s="68">
        <f>SUM(B3,B8)-J19-J17</f>
        <v>1110000</v>
      </c>
      <c r="K5" s="7" t="s">
        <v>13</v>
      </c>
      <c r="L5" s="68">
        <f>J17</f>
        <v>110400</v>
      </c>
      <c r="M5" s="7"/>
    </row>
    <row r="6" spans="1:13" ht="17.649999999999999">
      <c r="B6" s="3"/>
      <c r="F6" s="40"/>
      <c r="G6" s="7" t="s">
        <v>58</v>
      </c>
      <c r="H6" s="68">
        <f>J20</f>
        <v>496800</v>
      </c>
      <c r="I6" s="7" t="s">
        <v>58</v>
      </c>
      <c r="J6" s="68">
        <f>SUM(B4,B5,B9)-J20-J18</f>
        <v>1661400</v>
      </c>
      <c r="K6" s="7" t="s">
        <v>58</v>
      </c>
      <c r="L6" s="68">
        <f>J18</f>
        <v>82800</v>
      </c>
      <c r="M6" s="7"/>
    </row>
    <row r="7" spans="1:13" ht="17.649999999999999">
      <c r="A7" s="7" t="s">
        <v>3</v>
      </c>
      <c r="B7" s="3"/>
      <c r="C7" s="7"/>
      <c r="F7" s="40"/>
      <c r="G7" s="7" t="s">
        <v>17</v>
      </c>
      <c r="H7" s="68">
        <f>SUM(H5:H6)</f>
        <v>938400</v>
      </c>
      <c r="I7" s="7" t="s">
        <v>17</v>
      </c>
      <c r="J7" s="68">
        <f>SUM(J5:J6)</f>
        <v>2771400</v>
      </c>
      <c r="K7" s="7" t="s">
        <v>17</v>
      </c>
      <c r="L7" s="68">
        <f>SUM(L5:L6)</f>
        <v>193200</v>
      </c>
    </row>
    <row r="8" spans="1:13" ht="17.649999999999999">
      <c r="A8" s="7" t="s">
        <v>0</v>
      </c>
      <c r="B8" s="8">
        <v>282000</v>
      </c>
      <c r="D8" s="1" t="s">
        <v>20</v>
      </c>
      <c r="E8" s="3">
        <v>500</v>
      </c>
      <c r="F8" s="40"/>
      <c r="G8" s="7" t="s">
        <v>51</v>
      </c>
      <c r="H8" s="69">
        <f>IF(B12="期末負担要",L10/SUM(C19-E17)*E19,0)</f>
        <v>59200</v>
      </c>
      <c r="I8" s="7" t="s">
        <v>51</v>
      </c>
      <c r="J8" s="69">
        <f>IF(B12="期末負担要",L10/SUM(C19-E17)*(E15-C15),SUM(L10))</f>
        <v>111000</v>
      </c>
      <c r="K8" s="7" t="s">
        <v>52</v>
      </c>
      <c r="L8" s="94">
        <v>0</v>
      </c>
    </row>
    <row r="9" spans="1:13" ht="17.649999999999999">
      <c r="A9" s="1" t="s">
        <v>1</v>
      </c>
      <c r="B9" s="8">
        <v>171000</v>
      </c>
      <c r="C9" s="10" t="s">
        <v>42</v>
      </c>
      <c r="D9" s="1" t="s">
        <v>6</v>
      </c>
      <c r="E9" s="3">
        <v>2500</v>
      </c>
      <c r="F9" s="40"/>
      <c r="G9" s="7" t="s">
        <v>53</v>
      </c>
      <c r="H9" s="68">
        <f>SUM(H7:H8)</f>
        <v>997600</v>
      </c>
      <c r="I9" s="7" t="s">
        <v>53</v>
      </c>
      <c r="J9" s="68">
        <f>SUM(J7:J8)</f>
        <v>2882400</v>
      </c>
      <c r="K9" s="7" t="s">
        <v>54</v>
      </c>
      <c r="L9" s="6">
        <v>-23000</v>
      </c>
    </row>
    <row r="10" spans="1:13" ht="17.649999999999999">
      <c r="A10" s="7" t="s">
        <v>39</v>
      </c>
      <c r="B10" s="8"/>
      <c r="C10" s="10"/>
      <c r="D10" s="1" t="s">
        <v>44</v>
      </c>
      <c r="E10" s="3">
        <v>200</v>
      </c>
      <c r="F10" s="40"/>
      <c r="G10" s="7"/>
      <c r="I10" s="7"/>
      <c r="K10" s="66" t="s">
        <v>50</v>
      </c>
      <c r="L10" s="68">
        <f>SUM(L7:L9)</f>
        <v>170200</v>
      </c>
    </row>
    <row r="11" spans="1:13">
      <c r="D11" s="1" t="s">
        <v>21</v>
      </c>
      <c r="E11" s="3">
        <v>800</v>
      </c>
      <c r="F11" s="40"/>
    </row>
    <row r="12" spans="1:13" ht="17.649999999999999">
      <c r="A12" s="7" t="s">
        <v>45</v>
      </c>
      <c r="B12" s="70" t="str">
        <f>IF(B13&gt;=B14,"期末負担要","期末負担不要")</f>
        <v>期末負担要</v>
      </c>
      <c r="C12" s="7"/>
      <c r="F12" s="40"/>
    </row>
    <row r="13" spans="1:13">
      <c r="A13" s="1" t="s">
        <v>47</v>
      </c>
      <c r="B13" s="71">
        <f>E4</f>
        <v>0.75</v>
      </c>
      <c r="F13" s="40"/>
    </row>
    <row r="14" spans="1:13" ht="18" thickBot="1">
      <c r="A14" s="7" t="s">
        <v>48</v>
      </c>
      <c r="B14" s="72">
        <f>E5</f>
        <v>0.5</v>
      </c>
      <c r="C14" s="15" t="s">
        <v>11</v>
      </c>
      <c r="D14" s="67" t="b">
        <f>SUM(C15:C20)-E15=SUM(E15:E20)</f>
        <v>1</v>
      </c>
      <c r="E14" s="15"/>
      <c r="F14" s="40"/>
      <c r="G14" s="15"/>
      <c r="H14" s="15" t="s">
        <v>11</v>
      </c>
      <c r="I14" s="15"/>
      <c r="J14" s="15"/>
    </row>
    <row r="15" spans="1:13" ht="18.399999999999999" thickTop="1" thickBot="1">
      <c r="B15" s="18" t="s">
        <v>4</v>
      </c>
      <c r="C15" s="74">
        <f>E8</f>
        <v>500</v>
      </c>
      <c r="D15" s="19" t="s">
        <v>8</v>
      </c>
      <c r="E15" s="73">
        <f>SUM(C15,C19)-E17-E19</f>
        <v>2000</v>
      </c>
      <c r="F15" s="40"/>
      <c r="G15" s="18" t="s">
        <v>4</v>
      </c>
      <c r="H15" s="27" t="s">
        <v>15</v>
      </c>
      <c r="I15" s="28" t="s">
        <v>8</v>
      </c>
      <c r="J15" s="73">
        <f>SUM(B3:B10)-SUM(J19:J20)</f>
        <v>2964600</v>
      </c>
    </row>
    <row r="16" spans="1:13" ht="18.399999999999999" thickTop="1" thickBot="1">
      <c r="A16" s="21"/>
      <c r="B16" s="22" t="s">
        <v>5</v>
      </c>
      <c r="C16" s="75">
        <f>C15*E3</f>
        <v>200</v>
      </c>
      <c r="D16" s="23"/>
      <c r="E16" s="24"/>
      <c r="F16" s="40"/>
      <c r="G16" s="22" t="s">
        <v>5</v>
      </c>
      <c r="H16" s="29"/>
      <c r="J16" s="24"/>
    </row>
    <row r="17" spans="1:10" ht="13.15" thickTop="1">
      <c r="A17" s="21"/>
      <c r="D17" s="50" t="s">
        <v>44</v>
      </c>
      <c r="E17" s="95">
        <f>E10</f>
        <v>200</v>
      </c>
      <c r="F17" s="40"/>
      <c r="H17" s="29"/>
      <c r="I17" s="50" t="s">
        <v>44</v>
      </c>
      <c r="J17" s="95">
        <f>B3/C19*E17</f>
        <v>110400</v>
      </c>
    </row>
    <row r="18" spans="1:10" ht="13.15" thickBot="1">
      <c r="A18" s="21"/>
      <c r="D18" s="51" t="s">
        <v>49</v>
      </c>
      <c r="E18" s="75">
        <f>E17*E5</f>
        <v>100</v>
      </c>
      <c r="F18" s="40"/>
      <c r="H18" s="29"/>
      <c r="I18" s="51" t="s">
        <v>49</v>
      </c>
      <c r="J18" s="97">
        <f>SUM(B4,B5)/C20*E18</f>
        <v>82800</v>
      </c>
    </row>
    <row r="19" spans="1:10" ht="18" thickTop="1">
      <c r="A19" s="21"/>
      <c r="B19" s="18" t="s">
        <v>6</v>
      </c>
      <c r="C19" s="74">
        <f>E9</f>
        <v>2500</v>
      </c>
      <c r="D19" s="26" t="s">
        <v>9</v>
      </c>
      <c r="E19" s="96">
        <f>E11</f>
        <v>800</v>
      </c>
      <c r="F19" s="40"/>
      <c r="G19" s="18" t="s">
        <v>6</v>
      </c>
      <c r="H19" s="29"/>
      <c r="I19" s="18" t="s">
        <v>9</v>
      </c>
      <c r="J19" s="74">
        <f>B3/C19*E19</f>
        <v>441600</v>
      </c>
    </row>
    <row r="20" spans="1:10" ht="18" thickBot="1">
      <c r="A20" s="21"/>
      <c r="B20" s="22" t="s">
        <v>7</v>
      </c>
      <c r="C20" s="75">
        <f>SUM(E15,E18,E20)-C16</f>
        <v>2500</v>
      </c>
      <c r="D20" s="22" t="s">
        <v>10</v>
      </c>
      <c r="E20" s="75">
        <f>E19*E4</f>
        <v>600</v>
      </c>
      <c r="F20" s="40"/>
      <c r="G20" s="22" t="s">
        <v>7</v>
      </c>
      <c r="H20" s="31"/>
      <c r="I20" s="22" t="s">
        <v>10</v>
      </c>
      <c r="J20" s="75">
        <f>SUM(B4,B5)/C20*E20</f>
        <v>496800</v>
      </c>
    </row>
    <row r="21" spans="1:10" ht="13.15" thickTop="1">
      <c r="F21" s="40"/>
    </row>
    <row r="22" spans="1:10">
      <c r="F22" s="40"/>
    </row>
    <row r="23" spans="1:10">
      <c r="F23" s="40"/>
      <c r="G23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H23" s="2"/>
      <c r="I23" s="2"/>
      <c r="J23" s="2"/>
    </row>
    <row r="24" spans="1:10" ht="17.649999999999999">
      <c r="B24" s="41" t="s">
        <v>30</v>
      </c>
      <c r="C24" s="41" t="s">
        <v>31</v>
      </c>
      <c r="D24" s="7" t="s">
        <v>37</v>
      </c>
      <c r="F24" s="40"/>
      <c r="G24" s="2"/>
      <c r="H24" s="2"/>
      <c r="I24" s="2"/>
      <c r="J24" s="2"/>
    </row>
    <row r="25" spans="1:10" ht="17.649999999999999">
      <c r="A25" s="7" t="s">
        <v>32</v>
      </c>
      <c r="B25" s="42">
        <v>4200</v>
      </c>
      <c r="C25" s="42">
        <v>2200</v>
      </c>
      <c r="D25" s="45" t="b">
        <f>SUM(B25:C25)=E15</f>
        <v>0</v>
      </c>
      <c r="F25" s="40"/>
      <c r="G25" s="2"/>
      <c r="H25" s="2"/>
      <c r="I25" s="2"/>
      <c r="J25" s="2"/>
    </row>
    <row r="26" spans="1:10" ht="17.649999999999999">
      <c r="A26" s="1" t="s">
        <v>33</v>
      </c>
      <c r="B26" s="42">
        <v>1</v>
      </c>
      <c r="C26" s="90">
        <v>0.6</v>
      </c>
      <c r="D26" s="7"/>
      <c r="F26" s="40"/>
    </row>
    <row r="27" spans="1:10" ht="17.649999999999999">
      <c r="A27" s="44" t="s">
        <v>34</v>
      </c>
      <c r="B27" s="37">
        <f>B25*B26</f>
        <v>4200</v>
      </c>
      <c r="C27" s="37">
        <f>C25*C26</f>
        <v>1320</v>
      </c>
      <c r="F27" s="40"/>
    </row>
    <row r="28" spans="1:10">
      <c r="A28" s="44" t="s">
        <v>35</v>
      </c>
      <c r="B28" s="37">
        <f>$J$15/SUM($B$27:$C$27)*B27</f>
        <v>2255673.9130434785</v>
      </c>
      <c r="C28" s="37">
        <f>$J$15/SUM($B$27:$C$27)*C27</f>
        <v>708926.08695652173</v>
      </c>
      <c r="D28" s="45" t="b">
        <f>SUM(B28:C28)=SUM(J9)</f>
        <v>0</v>
      </c>
      <c r="F28" s="40"/>
    </row>
    <row r="29" spans="1:10" ht="17.649999999999999">
      <c r="A29" s="7" t="s">
        <v>36</v>
      </c>
      <c r="B29" s="46">
        <f>B28/B25</f>
        <v>537.06521739130437</v>
      </c>
      <c r="C29" s="46">
        <f>C28/C25</f>
        <v>322.23913043478262</v>
      </c>
      <c r="F29" s="40"/>
    </row>
    <row r="30" spans="1:10">
      <c r="F30" s="40"/>
    </row>
    <row r="31" spans="1:10">
      <c r="A31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B31" s="2"/>
      <c r="C31" s="2"/>
      <c r="D31" s="2"/>
      <c r="F31" s="40"/>
    </row>
    <row r="32" spans="1:10">
      <c r="A32" s="2"/>
      <c r="B32" s="2"/>
      <c r="C32" s="2"/>
      <c r="D32" s="2"/>
      <c r="F32" s="40"/>
    </row>
    <row r="33" spans="1:6">
      <c r="A33" s="2"/>
      <c r="B33" s="2"/>
      <c r="C33" s="2"/>
      <c r="D33" s="2"/>
      <c r="F33" s="40"/>
    </row>
    <row r="34" spans="1:6">
      <c r="F34" s="40"/>
    </row>
  </sheetData>
  <sheetProtection algorithmName="SHA-512" hashValue="O3QbJrB85LFSuf6oOv82jbztmnpdw6s7PaZtkf/Jqv4WCUdur7pLIuvLeV7pcKcL30DPVYilfwJWjJwYUeosng==" saltValue="Uw9BnuMI5/93KtXlri05cw==" spinCount="100000" sheet="1" objects="1" scenarios="1"/>
  <mergeCells count="6">
    <mergeCell ref="F1:F34"/>
    <mergeCell ref="C4:C5"/>
    <mergeCell ref="C9:C10"/>
    <mergeCell ref="H15:H20"/>
    <mergeCell ref="A31:D33"/>
    <mergeCell ref="G23:J25"/>
  </mergeCells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EF530-0B8C-4567-92B2-14789A2E5B49}">
  <sheetPr codeName="Sheet11"/>
  <dimension ref="A1:M34"/>
  <sheetViews>
    <sheetView workbookViewId="0">
      <selection activeCell="H2" sqref="H2 L5:L7 H5:H9 J5:J9 L10 D14 E15 J15 C15:C16 C19:C20 E17:E20 J17:J20 G22:J24 D25 B27:C27 B28:D28 B29:C29 A32:D34"/>
    </sheetView>
  </sheetViews>
  <sheetFormatPr defaultRowHeight="12.75"/>
  <cols>
    <col min="1" max="1" width="14.73046875" style="1" customWidth="1"/>
    <col min="2" max="2" width="16.9296875" style="1" bestFit="1" customWidth="1"/>
    <col min="3" max="3" width="16.9296875" style="1" customWidth="1"/>
    <col min="4" max="5" width="16.9296875" style="1" bestFit="1" customWidth="1"/>
    <col min="6" max="6" width="16.33203125" style="1" customWidth="1"/>
    <col min="7" max="7" width="27.06640625" style="1" customWidth="1"/>
    <col min="8" max="8" width="17.265625" style="1" customWidth="1"/>
    <col min="9" max="9" width="16.9296875" style="1" bestFit="1" customWidth="1"/>
    <col min="10" max="10" width="20" style="1" customWidth="1"/>
    <col min="11" max="11" width="24.265625" style="1" customWidth="1"/>
    <col min="12" max="12" width="12.19921875" style="1" bestFit="1" customWidth="1"/>
    <col min="13" max="16384" width="9.06640625" style="1"/>
  </cols>
  <sheetData>
    <row r="1" spans="1:13" ht="17.649999999999999">
      <c r="A1" s="3"/>
      <c r="B1" s="4" t="s">
        <v>22</v>
      </c>
      <c r="C1" s="5"/>
      <c r="D1" s="4" t="s">
        <v>23</v>
      </c>
      <c r="F1" s="39" t="s">
        <v>29</v>
      </c>
      <c r="H1" s="1" t="s">
        <v>16</v>
      </c>
    </row>
    <row r="2" spans="1:13" ht="17.649999999999999">
      <c r="A2" s="1" t="s">
        <v>2</v>
      </c>
      <c r="C2" s="6"/>
      <c r="D2" s="4" t="s">
        <v>24</v>
      </c>
      <c r="F2" s="40"/>
      <c r="H2" s="81" t="b">
        <f>SUM(H5:H6)+SUM(L5:L6)+SUM(J5:J6)=SUM(B3:B10)</f>
        <v>1</v>
      </c>
    </row>
    <row r="3" spans="1:13" ht="17.649999999999999">
      <c r="A3" s="7" t="s">
        <v>0</v>
      </c>
      <c r="B3" s="8">
        <v>1380000</v>
      </c>
      <c r="D3" s="1" t="s">
        <v>18</v>
      </c>
      <c r="E3" s="9">
        <v>0.4</v>
      </c>
      <c r="F3" s="40"/>
    </row>
    <row r="4" spans="1:13" ht="17.649999999999999">
      <c r="A4" s="1" t="s">
        <v>1</v>
      </c>
      <c r="B4" s="8">
        <v>2070000</v>
      </c>
      <c r="C4" s="10" t="s">
        <v>59</v>
      </c>
      <c r="D4" s="1" t="s">
        <v>19</v>
      </c>
      <c r="E4" s="3">
        <v>0.75</v>
      </c>
      <c r="F4" s="40"/>
      <c r="G4" s="1" t="s">
        <v>12</v>
      </c>
      <c r="I4" s="1" t="s">
        <v>14</v>
      </c>
      <c r="K4" s="1" t="s">
        <v>50</v>
      </c>
      <c r="M4" s="7"/>
    </row>
    <row r="5" spans="1:13" ht="17.649999999999999">
      <c r="A5" s="7" t="s">
        <v>39</v>
      </c>
      <c r="B5" s="8"/>
      <c r="C5" s="10"/>
      <c r="D5" s="1" t="s">
        <v>43</v>
      </c>
      <c r="E5" s="3">
        <v>0.5</v>
      </c>
      <c r="F5" s="40"/>
      <c r="G5" s="7" t="s">
        <v>13</v>
      </c>
      <c r="H5" s="82">
        <f>J19</f>
        <v>441600</v>
      </c>
      <c r="I5" s="7" t="s">
        <v>13</v>
      </c>
      <c r="J5" s="82">
        <f>SUM(B3,B8)-J19-J17</f>
        <v>1110000</v>
      </c>
      <c r="K5" s="7" t="s">
        <v>13</v>
      </c>
      <c r="L5" s="82">
        <f>J17</f>
        <v>110400</v>
      </c>
      <c r="M5" s="7"/>
    </row>
    <row r="6" spans="1:13" ht="17.649999999999999">
      <c r="B6" s="3"/>
      <c r="F6" s="40"/>
      <c r="G6" s="7" t="s">
        <v>58</v>
      </c>
      <c r="H6" s="82">
        <f>J20</f>
        <v>496800</v>
      </c>
      <c r="I6" s="7" t="s">
        <v>58</v>
      </c>
      <c r="J6" s="82">
        <f>SUM(B4,B5,B9)-J20-J18</f>
        <v>1661400</v>
      </c>
      <c r="K6" s="7" t="s">
        <v>58</v>
      </c>
      <c r="L6" s="82">
        <f>J18</f>
        <v>82800</v>
      </c>
      <c r="M6" s="7"/>
    </row>
    <row r="7" spans="1:13" ht="17.649999999999999">
      <c r="A7" s="7" t="s">
        <v>3</v>
      </c>
      <c r="B7" s="3"/>
      <c r="C7" s="7"/>
      <c r="F7" s="40"/>
      <c r="G7" s="7" t="s">
        <v>17</v>
      </c>
      <c r="H7" s="82">
        <f>SUM(H5:H6)</f>
        <v>938400</v>
      </c>
      <c r="I7" s="7" t="s">
        <v>17</v>
      </c>
      <c r="J7" s="82">
        <f>SUM(J5:J6)</f>
        <v>2771400</v>
      </c>
      <c r="K7" s="7" t="s">
        <v>17</v>
      </c>
      <c r="L7" s="82">
        <f>SUM(L5:L6)</f>
        <v>193200</v>
      </c>
    </row>
    <row r="8" spans="1:13" ht="17.649999999999999">
      <c r="A8" s="7" t="s">
        <v>0</v>
      </c>
      <c r="B8" s="8">
        <v>282000</v>
      </c>
      <c r="D8" s="1" t="s">
        <v>20</v>
      </c>
      <c r="E8" s="3">
        <v>500</v>
      </c>
      <c r="F8" s="40"/>
      <c r="G8" s="7" t="s">
        <v>51</v>
      </c>
      <c r="H8" s="83">
        <f>IF(B12="期末負担要",L10/SUM(C20-E18)*E20,0)</f>
        <v>41400</v>
      </c>
      <c r="I8" s="7" t="s">
        <v>51</v>
      </c>
      <c r="J8" s="83">
        <f>IF(B12="期末負担要",L10/SUM(C20-E18)*(E15-C16),SUM(L10))</f>
        <v>124200</v>
      </c>
      <c r="K8" s="7" t="s">
        <v>52</v>
      </c>
      <c r="L8" s="94">
        <v>0</v>
      </c>
    </row>
    <row r="9" spans="1:13" ht="17.649999999999999">
      <c r="A9" s="1" t="s">
        <v>1</v>
      </c>
      <c r="B9" s="8">
        <v>171000</v>
      </c>
      <c r="C9" s="7"/>
      <c r="D9" s="1" t="s">
        <v>6</v>
      </c>
      <c r="E9" s="3">
        <v>2500</v>
      </c>
      <c r="F9" s="40"/>
      <c r="G9" s="7" t="s">
        <v>53</v>
      </c>
      <c r="H9" s="82">
        <f>SUM(H7:H8)</f>
        <v>979800</v>
      </c>
      <c r="I9" s="7" t="s">
        <v>53</v>
      </c>
      <c r="J9" s="82">
        <f>SUM(J7:J8)</f>
        <v>2895600</v>
      </c>
      <c r="K9" s="7" t="s">
        <v>55</v>
      </c>
      <c r="L9" s="6">
        <v>-27600</v>
      </c>
    </row>
    <row r="10" spans="1:13" ht="17.649999999999999">
      <c r="A10" s="7" t="s">
        <v>39</v>
      </c>
      <c r="B10" s="8"/>
      <c r="C10" s="7"/>
      <c r="D10" s="1" t="s">
        <v>44</v>
      </c>
      <c r="E10" s="3">
        <v>200</v>
      </c>
      <c r="F10" s="40"/>
      <c r="G10" s="7"/>
      <c r="I10" s="7"/>
      <c r="K10" s="66" t="s">
        <v>50</v>
      </c>
      <c r="L10" s="82">
        <f>SUM(L7:L9)</f>
        <v>165600</v>
      </c>
    </row>
    <row r="11" spans="1:13">
      <c r="D11" s="1" t="s">
        <v>21</v>
      </c>
      <c r="E11" s="3">
        <v>800</v>
      </c>
      <c r="F11" s="40"/>
    </row>
    <row r="12" spans="1:13" ht="17.649999999999999">
      <c r="A12" s="7" t="s">
        <v>45</v>
      </c>
      <c r="B12" s="7" t="s">
        <v>56</v>
      </c>
      <c r="C12" s="7"/>
      <c r="F12" s="40"/>
    </row>
    <row r="13" spans="1:13">
      <c r="A13" s="40" t="s">
        <v>57</v>
      </c>
      <c r="B13" s="40"/>
      <c r="F13" s="40"/>
    </row>
    <row r="14" spans="1:13" ht="13.15" thickBot="1">
      <c r="A14" s="40"/>
      <c r="B14" s="40"/>
      <c r="C14" s="15" t="s">
        <v>11</v>
      </c>
      <c r="D14" s="81" t="b">
        <f>SUM(C15:C20)-E15=SUM(E15:E20)</f>
        <v>1</v>
      </c>
      <c r="E14" s="15"/>
      <c r="F14" s="40"/>
      <c r="G14" s="15"/>
      <c r="H14" s="15" t="s">
        <v>11</v>
      </c>
      <c r="I14" s="15"/>
      <c r="J14" s="15"/>
    </row>
    <row r="15" spans="1:13" ht="18.399999999999999" thickTop="1" thickBot="1">
      <c r="B15" s="18" t="s">
        <v>4</v>
      </c>
      <c r="C15" s="85">
        <f>E8</f>
        <v>500</v>
      </c>
      <c r="D15" s="19" t="s">
        <v>8</v>
      </c>
      <c r="E15" s="84">
        <f>SUM(C15,C19)-E17-E19</f>
        <v>2000</v>
      </c>
      <c r="F15" s="40"/>
      <c r="G15" s="18" t="s">
        <v>4</v>
      </c>
      <c r="H15" s="27" t="s">
        <v>15</v>
      </c>
      <c r="I15" s="28" t="s">
        <v>8</v>
      </c>
      <c r="J15" s="84">
        <f>SUM(B3:B10)-SUM(J19:J20)</f>
        <v>2964600</v>
      </c>
    </row>
    <row r="16" spans="1:13" ht="18.399999999999999" thickTop="1" thickBot="1">
      <c r="A16" s="21"/>
      <c r="B16" s="22" t="s">
        <v>5</v>
      </c>
      <c r="C16" s="86">
        <f>C15*E3</f>
        <v>200</v>
      </c>
      <c r="D16" s="23"/>
      <c r="E16" s="24"/>
      <c r="F16" s="40"/>
      <c r="G16" s="22" t="s">
        <v>5</v>
      </c>
      <c r="H16" s="29"/>
      <c r="J16" s="24"/>
    </row>
    <row r="17" spans="1:10" ht="13.15" thickTop="1">
      <c r="A17" s="21"/>
      <c r="D17" s="50" t="s">
        <v>44</v>
      </c>
      <c r="E17" s="92">
        <f>E10</f>
        <v>200</v>
      </c>
      <c r="F17" s="40"/>
      <c r="H17" s="29"/>
      <c r="I17" s="50" t="s">
        <v>44</v>
      </c>
      <c r="J17" s="92">
        <f>B3/C19*E17</f>
        <v>110400</v>
      </c>
    </row>
    <row r="18" spans="1:10" ht="13.15" thickBot="1">
      <c r="A18" s="21"/>
      <c r="D18" s="51" t="s">
        <v>49</v>
      </c>
      <c r="E18" s="86">
        <f>E17*E5</f>
        <v>100</v>
      </c>
      <c r="F18" s="40"/>
      <c r="H18" s="29"/>
      <c r="I18" s="51" t="s">
        <v>49</v>
      </c>
      <c r="J18" s="98">
        <f>SUM(B4,B5)/C20*E18</f>
        <v>82800</v>
      </c>
    </row>
    <row r="19" spans="1:10" ht="18" thickTop="1">
      <c r="A19" s="21"/>
      <c r="B19" s="18" t="s">
        <v>6</v>
      </c>
      <c r="C19" s="85">
        <f>E9</f>
        <v>2500</v>
      </c>
      <c r="D19" s="26" t="s">
        <v>9</v>
      </c>
      <c r="E19" s="93">
        <f>E11</f>
        <v>800</v>
      </c>
      <c r="F19" s="40"/>
      <c r="G19" s="18" t="s">
        <v>6</v>
      </c>
      <c r="H19" s="29"/>
      <c r="I19" s="18" t="s">
        <v>9</v>
      </c>
      <c r="J19" s="85">
        <f>B3/C19*E19</f>
        <v>441600</v>
      </c>
    </row>
    <row r="20" spans="1:10" ht="18" thickBot="1">
      <c r="A20" s="21"/>
      <c r="B20" s="22" t="s">
        <v>7</v>
      </c>
      <c r="C20" s="86">
        <f>SUM(E15,E18,E20)-C16</f>
        <v>2500</v>
      </c>
      <c r="D20" s="22" t="s">
        <v>10</v>
      </c>
      <c r="E20" s="86">
        <f>E19*E4</f>
        <v>600</v>
      </c>
      <c r="F20" s="40"/>
      <c r="G20" s="22" t="s">
        <v>7</v>
      </c>
      <c r="H20" s="31"/>
      <c r="I20" s="22" t="s">
        <v>10</v>
      </c>
      <c r="J20" s="86">
        <f>SUM(B4,B5)/C20*E20</f>
        <v>496800</v>
      </c>
    </row>
    <row r="21" spans="1:10" ht="13.15" thickTop="1">
      <c r="F21" s="40"/>
    </row>
    <row r="22" spans="1:10">
      <c r="F22" s="40"/>
      <c r="G22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H22" s="2"/>
      <c r="I22" s="2"/>
      <c r="J22" s="2"/>
    </row>
    <row r="23" spans="1:10">
      <c r="F23" s="40"/>
      <c r="G23" s="2"/>
      <c r="H23" s="2"/>
      <c r="I23" s="2"/>
      <c r="J23" s="2"/>
    </row>
    <row r="24" spans="1:10" ht="17.649999999999999">
      <c r="B24" s="41" t="s">
        <v>30</v>
      </c>
      <c r="C24" s="41" t="s">
        <v>31</v>
      </c>
      <c r="D24" s="7" t="s">
        <v>37</v>
      </c>
      <c r="F24" s="40"/>
      <c r="G24" s="2"/>
      <c r="H24" s="2"/>
      <c r="I24" s="2"/>
      <c r="J24" s="2"/>
    </row>
    <row r="25" spans="1:10" ht="17.649999999999999">
      <c r="A25" s="7" t="s">
        <v>32</v>
      </c>
      <c r="B25" s="42">
        <v>500</v>
      </c>
      <c r="C25" s="42">
        <v>250</v>
      </c>
      <c r="D25" s="45" t="b">
        <f>SUM(B25:C25)=E15</f>
        <v>0</v>
      </c>
      <c r="F25" s="40"/>
    </row>
    <row r="26" spans="1:10" ht="17.649999999999999">
      <c r="A26" s="1" t="s">
        <v>33</v>
      </c>
      <c r="B26" s="42">
        <v>1</v>
      </c>
      <c r="C26" s="90">
        <v>0.6</v>
      </c>
      <c r="D26" s="7"/>
      <c r="F26" s="40"/>
    </row>
    <row r="27" spans="1:10" ht="17.649999999999999">
      <c r="A27" s="44" t="s">
        <v>34</v>
      </c>
      <c r="B27" s="37">
        <f>B25*B26</f>
        <v>500</v>
      </c>
      <c r="C27" s="37">
        <f>C25*C26</f>
        <v>150</v>
      </c>
      <c r="F27" s="40"/>
    </row>
    <row r="28" spans="1:10">
      <c r="A28" s="44" t="s">
        <v>35</v>
      </c>
      <c r="B28" s="37">
        <f>$J$15/SUM($B$27:$C$27)*B27</f>
        <v>2280461.5384615385</v>
      </c>
      <c r="C28" s="37">
        <f>$J$15/SUM($B$27:$C$27)*C27</f>
        <v>684138.46153846162</v>
      </c>
      <c r="D28" s="45" t="b">
        <f>SUM(B28:C28)=SUM(J9)</f>
        <v>0</v>
      </c>
      <c r="F28" s="40"/>
    </row>
    <row r="29" spans="1:10" ht="17.649999999999999">
      <c r="A29" s="7" t="s">
        <v>36</v>
      </c>
      <c r="B29" s="46">
        <f>B28/B25</f>
        <v>4560.9230769230771</v>
      </c>
      <c r="C29" s="46">
        <f>C28/C25</f>
        <v>2736.5538461538463</v>
      </c>
      <c r="F29" s="40"/>
    </row>
    <row r="30" spans="1:10">
      <c r="F30" s="40"/>
    </row>
    <row r="31" spans="1:10">
      <c r="F31" s="40"/>
    </row>
    <row r="32" spans="1:10">
      <c r="A32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B32" s="2"/>
      <c r="C32" s="2"/>
      <c r="D32" s="2"/>
      <c r="F32" s="40"/>
    </row>
    <row r="33" spans="1:6">
      <c r="A33" s="2"/>
      <c r="B33" s="2"/>
      <c r="C33" s="2"/>
      <c r="D33" s="2"/>
      <c r="F33" s="40"/>
    </row>
    <row r="34" spans="1:6">
      <c r="A34" s="2"/>
      <c r="B34" s="2"/>
      <c r="C34" s="2"/>
      <c r="D34" s="2"/>
      <c r="F34" s="40"/>
    </row>
  </sheetData>
  <sheetProtection algorithmName="SHA-512" hashValue="k7mSn1ZrnXd0nFzAJaGO8P+dva7/9fzHi4HF5VKPN/3aHoY8zYJXvrEdZgcgV0Q+tL0mchqy9kKL+9b7bZD0KA==" saltValue="pTD/gP87Pt+4pqlRNumThw==" spinCount="100000" sheet="1" objects="1" scenarios="1"/>
  <mergeCells count="6">
    <mergeCell ref="F1:F34"/>
    <mergeCell ref="C4:C5"/>
    <mergeCell ref="A13:B14"/>
    <mergeCell ref="H15:H20"/>
    <mergeCell ref="A32:D34"/>
    <mergeCell ref="G22:J24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D6E28-B25D-49DE-BCCA-FDA16DE929F6}">
  <sheetPr codeName="Sheet2"/>
  <dimension ref="A1:J43"/>
  <sheetViews>
    <sheetView tabSelected="1" zoomScaleNormal="100" workbookViewId="0">
      <selection activeCell="E4" sqref="E4"/>
    </sheetView>
  </sheetViews>
  <sheetFormatPr defaultRowHeight="12.75"/>
  <cols>
    <col min="1" max="1" width="9.06640625" style="1"/>
    <col min="2" max="2" width="18.53125" style="1" bestFit="1" customWidth="1"/>
    <col min="3" max="3" width="26.6640625" style="1" customWidth="1"/>
    <col min="4" max="5" width="16.9296875" style="1" bestFit="1" customWidth="1"/>
    <col min="6" max="7" width="16.9296875" style="1" customWidth="1"/>
    <col min="8" max="8" width="26.53125" style="1" customWidth="1"/>
    <col min="9" max="10" width="16.9296875" style="1" customWidth="1"/>
    <col min="11" max="11" width="16.33203125" style="1" customWidth="1"/>
    <col min="12" max="12" width="27.06640625" style="1" customWidth="1"/>
    <col min="13" max="13" width="17.265625" style="1" customWidth="1"/>
    <col min="14" max="14" width="16.9296875" style="1" bestFit="1" customWidth="1"/>
    <col min="15" max="15" width="20" style="1" customWidth="1"/>
    <col min="16" max="16384" width="9.06640625" style="1"/>
  </cols>
  <sheetData>
    <row r="1" spans="1:10" ht="17.649999999999999" customHeight="1">
      <c r="A1" s="3"/>
      <c r="B1" s="4" t="s">
        <v>22</v>
      </c>
      <c r="C1" s="5"/>
      <c r="D1" s="4" t="s">
        <v>23</v>
      </c>
      <c r="F1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G1" s="2"/>
      <c r="H1" s="2"/>
      <c r="I1" s="2"/>
    </row>
    <row r="2" spans="1:10" ht="17.649999999999999">
      <c r="A2" s="1" t="s">
        <v>2</v>
      </c>
      <c r="C2" s="6"/>
      <c r="D2" s="4" t="s">
        <v>24</v>
      </c>
      <c r="F2" s="2"/>
      <c r="G2" s="2"/>
      <c r="H2" s="2"/>
      <c r="I2" s="2"/>
    </row>
    <row r="3" spans="1:10" ht="17.649999999999999">
      <c r="A3" s="7" t="s">
        <v>0</v>
      </c>
      <c r="B3" s="8">
        <v>1680000</v>
      </c>
      <c r="D3" s="1" t="s">
        <v>18</v>
      </c>
      <c r="E3" s="9">
        <v>0.5</v>
      </c>
      <c r="F3" s="2"/>
      <c r="G3" s="2"/>
      <c r="H3" s="2"/>
      <c r="I3" s="2"/>
    </row>
    <row r="4" spans="1:10" ht="12.75" customHeight="1">
      <c r="A4" s="1" t="s">
        <v>1</v>
      </c>
      <c r="B4" s="8">
        <v>1960000</v>
      </c>
      <c r="C4" s="10" t="s">
        <v>40</v>
      </c>
      <c r="D4" s="1" t="s">
        <v>19</v>
      </c>
      <c r="E4" s="3">
        <v>0.5</v>
      </c>
      <c r="I4" s="1" t="s">
        <v>18</v>
      </c>
      <c r="J4" s="9">
        <v>0.5</v>
      </c>
    </row>
    <row r="5" spans="1:10" ht="17.649999999999999">
      <c r="A5" s="7" t="s">
        <v>39</v>
      </c>
      <c r="B5" s="8"/>
      <c r="C5" s="10"/>
      <c r="D5" s="1" t="s">
        <v>27</v>
      </c>
      <c r="E5" s="1">
        <v>1</v>
      </c>
      <c r="I5" s="1" t="s">
        <v>19</v>
      </c>
      <c r="J5" s="3">
        <v>0.5</v>
      </c>
    </row>
    <row r="6" spans="1:10">
      <c r="I6" s="1" t="s">
        <v>27</v>
      </c>
      <c r="J6" s="1">
        <v>0.6</v>
      </c>
    </row>
    <row r="7" spans="1:10" ht="17.649999999999999">
      <c r="A7" s="7" t="s">
        <v>3</v>
      </c>
      <c r="C7" s="7"/>
    </row>
    <row r="8" spans="1:10" ht="17.649999999999999">
      <c r="A8" s="7" t="s">
        <v>0</v>
      </c>
      <c r="B8" s="8">
        <v>560000</v>
      </c>
      <c r="D8" s="1" t="s">
        <v>20</v>
      </c>
      <c r="E8" s="11">
        <v>20000</v>
      </c>
      <c r="F8" s="12"/>
      <c r="G8" s="12"/>
      <c r="H8" s="12"/>
      <c r="I8" s="1" t="s">
        <v>20</v>
      </c>
      <c r="J8" s="11">
        <v>20000</v>
      </c>
    </row>
    <row r="9" spans="1:10" ht="12.75" customHeight="1">
      <c r="A9" s="1" t="s">
        <v>1</v>
      </c>
      <c r="B9" s="8">
        <v>560000</v>
      </c>
      <c r="C9" s="10" t="s">
        <v>40</v>
      </c>
      <c r="D9" s="1" t="s">
        <v>6</v>
      </c>
      <c r="E9" s="11">
        <v>80000</v>
      </c>
      <c r="F9" s="12"/>
      <c r="G9" s="12"/>
      <c r="H9" s="12"/>
      <c r="I9" s="1" t="s">
        <v>6</v>
      </c>
      <c r="J9" s="11">
        <v>80000</v>
      </c>
    </row>
    <row r="10" spans="1:10" ht="17.649999999999999">
      <c r="A10" s="7" t="s">
        <v>39</v>
      </c>
      <c r="B10" s="8"/>
      <c r="C10" s="10"/>
    </row>
    <row r="11" spans="1:10">
      <c r="D11" s="1" t="s">
        <v>21</v>
      </c>
      <c r="E11" s="13">
        <v>40000</v>
      </c>
      <c r="F11" s="14"/>
      <c r="G11" s="14"/>
      <c r="H11" s="14"/>
      <c r="I11" s="1" t="s">
        <v>21</v>
      </c>
      <c r="J11" s="13">
        <v>40000</v>
      </c>
    </row>
    <row r="12" spans="1:10" ht="17.649999999999999">
      <c r="C12" s="7"/>
      <c r="D12" s="1" t="s">
        <v>28</v>
      </c>
      <c r="E12" s="1">
        <v>1</v>
      </c>
      <c r="I12" s="1" t="s">
        <v>28</v>
      </c>
      <c r="J12" s="1">
        <v>0.6</v>
      </c>
    </row>
    <row r="14" spans="1:10" ht="18" thickBot="1">
      <c r="B14" s="15"/>
      <c r="C14" s="16" t="s">
        <v>25</v>
      </c>
      <c r="D14" s="32" t="b">
        <f>SUM(C15:C20)-E15=SUM(E15:E20)</f>
        <v>1</v>
      </c>
      <c r="E14" s="15"/>
      <c r="G14" s="15"/>
      <c r="H14" s="16" t="s">
        <v>26</v>
      </c>
      <c r="I14" s="32" t="b">
        <f>SUM(H15:H20)-J15=SUM(J15:J20)</f>
        <v>1</v>
      </c>
      <c r="J14" s="15"/>
    </row>
    <row r="15" spans="1:10" ht="18.399999999999999" thickTop="1" thickBot="1">
      <c r="B15" s="18" t="s">
        <v>4</v>
      </c>
      <c r="C15" s="34">
        <f>E8*E12</f>
        <v>20000</v>
      </c>
      <c r="D15" s="19" t="s">
        <v>8</v>
      </c>
      <c r="E15" s="33">
        <f>SUM(C15,C19)-E17-E19</f>
        <v>60000</v>
      </c>
      <c r="F15" s="20"/>
      <c r="G15" s="18" t="s">
        <v>4</v>
      </c>
      <c r="H15" s="34">
        <f>J8*J12</f>
        <v>12000</v>
      </c>
      <c r="I15" s="19" t="s">
        <v>8</v>
      </c>
      <c r="J15" s="33">
        <f>SUM(H15,H19)-J17-J19</f>
        <v>36000</v>
      </c>
    </row>
    <row r="16" spans="1:10" ht="18.399999999999999" thickTop="1" thickBot="1">
      <c r="A16" s="21"/>
      <c r="B16" s="22" t="s">
        <v>5</v>
      </c>
      <c r="C16" s="35">
        <f>C15*E3*E5</f>
        <v>10000</v>
      </c>
      <c r="D16" s="23"/>
      <c r="E16" s="24"/>
      <c r="G16" s="22" t="s">
        <v>5</v>
      </c>
      <c r="H16" s="35">
        <f>H15*J4*J6</f>
        <v>3600</v>
      </c>
      <c r="I16" s="23"/>
      <c r="J16" s="24"/>
    </row>
    <row r="17" spans="1:10" ht="13.15" thickTop="1">
      <c r="A17" s="21"/>
      <c r="E17" s="21"/>
      <c r="J17" s="21"/>
    </row>
    <row r="18" spans="1:10" ht="13.15" thickBot="1">
      <c r="A18" s="21"/>
      <c r="D18" s="15"/>
      <c r="E18" s="25"/>
      <c r="F18" s="20"/>
      <c r="I18" s="15"/>
      <c r="J18" s="25"/>
    </row>
    <row r="19" spans="1:10" ht="18" thickTop="1">
      <c r="A19" s="21"/>
      <c r="B19" s="18" t="s">
        <v>6</v>
      </c>
      <c r="C19" s="34">
        <f>E9*E12</f>
        <v>80000</v>
      </c>
      <c r="D19" s="26" t="s">
        <v>9</v>
      </c>
      <c r="E19" s="36">
        <f>E11*E12</f>
        <v>40000</v>
      </c>
      <c r="F19" s="20"/>
      <c r="G19" s="18" t="s">
        <v>6</v>
      </c>
      <c r="H19" s="34">
        <f>J9*J12</f>
        <v>48000</v>
      </c>
      <c r="I19" s="26" t="s">
        <v>9</v>
      </c>
      <c r="J19" s="36">
        <f>J11*J12</f>
        <v>24000</v>
      </c>
    </row>
    <row r="20" spans="1:10" ht="18" thickBot="1">
      <c r="A20" s="21"/>
      <c r="B20" s="22" t="s">
        <v>7</v>
      </c>
      <c r="C20" s="35">
        <f>SUM(E15,E18,E20)-C16</f>
        <v>70000</v>
      </c>
      <c r="D20" s="22" t="s">
        <v>10</v>
      </c>
      <c r="E20" s="35">
        <f>E19*E4*E5</f>
        <v>20000</v>
      </c>
      <c r="F20" s="20"/>
      <c r="G20" s="22" t="s">
        <v>7</v>
      </c>
      <c r="H20" s="35">
        <f>SUM(J15,J18,J20)-H16</f>
        <v>39600</v>
      </c>
      <c r="I20" s="22" t="s">
        <v>10</v>
      </c>
      <c r="J20" s="35">
        <f>J19*J5*J6</f>
        <v>7200</v>
      </c>
    </row>
    <row r="21" spans="1:10" ht="13.15" thickTop="1"/>
    <row r="22" spans="1:10">
      <c r="F22" s="1" t="s">
        <v>16</v>
      </c>
    </row>
    <row r="23" spans="1:10">
      <c r="B23" s="1" t="s">
        <v>12</v>
      </c>
      <c r="F23" s="32" t="b">
        <f>SUM(C24:C25)+SUM(C29:C30)+SUM(H24:H25)+SUM(H29:H30)=SUM(B3:B10)</f>
        <v>1</v>
      </c>
      <c r="G23" s="1" t="s">
        <v>12</v>
      </c>
      <c r="I23" s="17"/>
    </row>
    <row r="24" spans="1:10" ht="17.649999999999999">
      <c r="B24" s="7" t="s">
        <v>13</v>
      </c>
      <c r="C24" s="37">
        <f>E38</f>
        <v>560000</v>
      </c>
      <c r="G24" s="7" t="s">
        <v>13</v>
      </c>
      <c r="H24" s="37">
        <f>J38</f>
        <v>336000</v>
      </c>
    </row>
    <row r="25" spans="1:10" ht="17.649999999999999">
      <c r="B25" s="7" t="s">
        <v>58</v>
      </c>
      <c r="C25" s="37">
        <f>E39</f>
        <v>409090.90909090906</v>
      </c>
      <c r="G25" s="7" t="s">
        <v>58</v>
      </c>
      <c r="H25" s="37">
        <f>J39</f>
        <v>147272.72727272726</v>
      </c>
    </row>
    <row r="26" spans="1:10" ht="17.649999999999999">
      <c r="B26" s="7" t="s">
        <v>17</v>
      </c>
      <c r="C26" s="37">
        <f>SUM(C24:C25)</f>
        <v>969090.90909090906</v>
      </c>
      <c r="G26" s="7" t="s">
        <v>17</v>
      </c>
      <c r="H26" s="37">
        <f>SUM(H24:H25)</f>
        <v>483272.72727272729</v>
      </c>
    </row>
    <row r="28" spans="1:10">
      <c r="B28" s="1" t="s">
        <v>14</v>
      </c>
      <c r="G28" s="1" t="s">
        <v>14</v>
      </c>
    </row>
    <row r="29" spans="1:10" ht="17.649999999999999">
      <c r="B29" s="7" t="s">
        <v>13</v>
      </c>
      <c r="C29" s="37">
        <f>SUM($B$3,$B$8)/SUM(C19,C15,H15,H19)*E15</f>
        <v>840000</v>
      </c>
      <c r="G29" s="7" t="s">
        <v>13</v>
      </c>
      <c r="H29" s="37">
        <f>SUM($B$3,$B$8)/SUM(H19,H15,C15,C19)*J15</f>
        <v>504000</v>
      </c>
    </row>
    <row r="30" spans="1:10" ht="17.649999999999999">
      <c r="B30" s="7" t="s">
        <v>58</v>
      </c>
      <c r="C30" s="37">
        <f>SUM($B$4:$B$5,$B$9:$B$10)/SUM(C20,C16,H16,H20)*E15</f>
        <v>1227272.7272727273</v>
      </c>
      <c r="G30" s="7" t="s">
        <v>58</v>
      </c>
      <c r="H30" s="37">
        <f>SUM($B$4:$B$5,$B$9:$B$10)/SUM(H20,H16,C16,C20)*J15</f>
        <v>736363.63636363635</v>
      </c>
    </row>
    <row r="31" spans="1:10" ht="17.649999999999999">
      <c r="B31" s="7" t="s">
        <v>17</v>
      </c>
      <c r="C31" s="37">
        <f>SUM(C29:C30)</f>
        <v>2067272.7272727273</v>
      </c>
      <c r="G31" s="7" t="s">
        <v>17</v>
      </c>
      <c r="H31" s="37">
        <f>SUM(H29:H30)</f>
        <v>1240363.6363636362</v>
      </c>
    </row>
    <row r="33" spans="2:10" ht="13.15" thickBot="1">
      <c r="B33" s="15"/>
      <c r="C33" s="15" t="s">
        <v>11</v>
      </c>
      <c r="D33" s="15"/>
      <c r="E33" s="15"/>
      <c r="G33" s="15"/>
      <c r="H33" s="15" t="s">
        <v>11</v>
      </c>
      <c r="I33" s="15"/>
      <c r="J33" s="15"/>
    </row>
    <row r="34" spans="2:10" ht="18.399999999999999" thickTop="1" thickBot="1">
      <c r="B34" s="18" t="s">
        <v>4</v>
      </c>
      <c r="C34" s="27" t="s">
        <v>15</v>
      </c>
      <c r="D34" s="28" t="s">
        <v>8</v>
      </c>
      <c r="E34" s="33">
        <f>SUM($B$3,$B$8)/SUM(C19,C15,H15,H19)*E15+SUM($B$4:$B$5,$B$9:$B$10)/SUM(C20,C16,H16,H20)*E15</f>
        <v>2067272.7272727273</v>
      </c>
      <c r="G34" s="18" t="s">
        <v>4</v>
      </c>
      <c r="H34" s="27" t="s">
        <v>15</v>
      </c>
      <c r="I34" s="28" t="s">
        <v>8</v>
      </c>
      <c r="J34" s="33">
        <f>SUM($B$3,$B$8)/SUM(H19,H15,C15,C19)*J15+SUM($B$4:$B$5,$B$9:$B$10)/SUM(H20,H16,C16,C20)*J15</f>
        <v>1240363.6363636362</v>
      </c>
    </row>
    <row r="35" spans="2:10" ht="18.399999999999999" thickTop="1" thickBot="1">
      <c r="B35" s="22" t="s">
        <v>5</v>
      </c>
      <c r="C35" s="29"/>
      <c r="E35" s="24"/>
      <c r="G35" s="22" t="s">
        <v>5</v>
      </c>
      <c r="H35" s="29"/>
      <c r="J35" s="24"/>
    </row>
    <row r="36" spans="2:10" ht="13.15" thickTop="1">
      <c r="C36" s="29"/>
      <c r="E36" s="21"/>
      <c r="H36" s="29"/>
      <c r="J36" s="21"/>
    </row>
    <row r="37" spans="2:10" ht="13.15" thickBot="1">
      <c r="C37" s="29"/>
      <c r="E37" s="30"/>
      <c r="H37" s="29"/>
      <c r="J37" s="30"/>
    </row>
    <row r="38" spans="2:10" ht="18.399999999999999" thickTop="1" thickBot="1">
      <c r="B38" s="18" t="s">
        <v>6</v>
      </c>
      <c r="C38" s="29"/>
      <c r="D38" s="18" t="s">
        <v>9</v>
      </c>
      <c r="E38" s="34">
        <f>SUM($B$3,$B$8)/SUM(C19,C15,H15,H19)*E19</f>
        <v>560000</v>
      </c>
      <c r="G38" s="18" t="s">
        <v>6</v>
      </c>
      <c r="H38" s="29"/>
      <c r="I38" s="18" t="s">
        <v>9</v>
      </c>
      <c r="J38" s="34">
        <f>SUM($B$3,$B$8)/SUM(H19,H15,C15,C19)*J19</f>
        <v>336000</v>
      </c>
    </row>
    <row r="39" spans="2:10" ht="18.399999999999999" thickTop="1" thickBot="1">
      <c r="B39" s="22" t="s">
        <v>7</v>
      </c>
      <c r="C39" s="31"/>
      <c r="D39" s="22" t="s">
        <v>10</v>
      </c>
      <c r="E39" s="38">
        <f>SUM($B$4:$B$5,$B$9:$B$10)/SUM(C20,C16,H16,H20)*E20</f>
        <v>409090.90909090906</v>
      </c>
      <c r="G39" s="22" t="s">
        <v>7</v>
      </c>
      <c r="H39" s="31"/>
      <c r="I39" s="22" t="s">
        <v>10</v>
      </c>
      <c r="J39" s="38">
        <f>SUM($B$4:$B$5,$B$9:$B$10)/SUM(H20,H16,C16,C20)*J20</f>
        <v>147272.72727272726</v>
      </c>
    </row>
    <row r="40" spans="2:10" ht="13.15" thickTop="1"/>
    <row r="41" spans="2:10">
      <c r="B41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C41" s="2"/>
      <c r="D41" s="2"/>
      <c r="E41" s="2"/>
      <c r="G41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H41" s="2"/>
      <c r="I41" s="2"/>
      <c r="J41" s="2"/>
    </row>
    <row r="42" spans="2:10">
      <c r="B42" s="2"/>
      <c r="C42" s="2"/>
      <c r="D42" s="2"/>
      <c r="E42" s="2"/>
      <c r="G42" s="2"/>
      <c r="H42" s="2"/>
      <c r="I42" s="2"/>
      <c r="J42" s="2"/>
    </row>
    <row r="43" spans="2:10">
      <c r="B43" s="2"/>
      <c r="C43" s="2"/>
      <c r="D43" s="2"/>
      <c r="E43" s="2"/>
      <c r="G43" s="2"/>
      <c r="H43" s="2"/>
      <c r="I43" s="2"/>
      <c r="J43" s="2"/>
    </row>
  </sheetData>
  <sheetProtection algorithmName="SHA-512" hashValue="T4z/gTuKij6Xzz8Cz2mHagvN9/5HR2br7qEcJdGJh9b78hrSG0qFiwL5BjUD4sSDpdu28wTy592NFmDDCt5k6g==" saltValue="M4+r8hA5NKKc3QOyW2QBDw==" spinCount="100000" sheet="1" objects="1" scenarios="1"/>
  <mergeCells count="7">
    <mergeCell ref="F1:I3"/>
    <mergeCell ref="B41:E43"/>
    <mergeCell ref="G41:J43"/>
    <mergeCell ref="C4:C5"/>
    <mergeCell ref="C34:C39"/>
    <mergeCell ref="H34:H39"/>
    <mergeCell ref="C9:C10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FACBD-55FB-42EB-BF1B-D1B6C93B3074}">
  <sheetPr codeName="Sheet13">
    <tabColor rgb="FFFF0000"/>
  </sheetPr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A2C86-3FB9-472E-92F3-9E3483A5EF6F}">
  <sheetPr codeName="Sheet5"/>
  <dimension ref="A1:M34"/>
  <sheetViews>
    <sheetView workbookViewId="0">
      <selection activeCell="I4" sqref="I4 H5:H7 J7:M9 H10:H12 D14 E15 J15 C15:C16 C19:C20 E19:E20 J19:J20 G24:J26 D25 B27:C27 B28:D28 B29:C29"/>
    </sheetView>
  </sheetViews>
  <sheetFormatPr defaultRowHeight="12.75"/>
  <cols>
    <col min="1" max="1" width="19.3984375" style="1" customWidth="1"/>
    <col min="2" max="2" width="18.53125" style="1" bestFit="1" customWidth="1"/>
    <col min="3" max="3" width="16.9296875" style="1" customWidth="1"/>
    <col min="4" max="5" width="16.9296875" style="1" bestFit="1" customWidth="1"/>
    <col min="6" max="6" width="16.33203125" style="1" customWidth="1"/>
    <col min="7" max="7" width="27.06640625" style="1" customWidth="1"/>
    <col min="8" max="8" width="17.265625" style="1" customWidth="1"/>
    <col min="9" max="9" width="16.9296875" style="1" bestFit="1" customWidth="1"/>
    <col min="10" max="10" width="20" style="1" customWidth="1"/>
    <col min="11" max="16384" width="9.06640625" style="1"/>
  </cols>
  <sheetData>
    <row r="1" spans="1:13" ht="17.649999999999999">
      <c r="A1" s="3"/>
      <c r="B1" s="4" t="s">
        <v>22</v>
      </c>
      <c r="C1" s="5"/>
      <c r="D1" s="4" t="s">
        <v>23</v>
      </c>
      <c r="F1" s="39" t="s">
        <v>29</v>
      </c>
    </row>
    <row r="2" spans="1:13" ht="17.649999999999999">
      <c r="A2" s="1" t="s">
        <v>2</v>
      </c>
      <c r="C2" s="6"/>
      <c r="D2" s="4" t="s">
        <v>24</v>
      </c>
      <c r="F2" s="40"/>
    </row>
    <row r="3" spans="1:13" ht="17.649999999999999">
      <c r="A3" s="7" t="s">
        <v>0</v>
      </c>
      <c r="B3" s="8">
        <v>2088000</v>
      </c>
      <c r="D3" s="1" t="s">
        <v>18</v>
      </c>
      <c r="E3" s="9">
        <v>0.4</v>
      </c>
      <c r="F3" s="40"/>
      <c r="I3" s="1" t="s">
        <v>16</v>
      </c>
    </row>
    <row r="4" spans="1:13" ht="12.75" customHeight="1">
      <c r="A4" s="1" t="s">
        <v>1</v>
      </c>
      <c r="B4" s="8">
        <v>2170800</v>
      </c>
      <c r="C4" s="10" t="s">
        <v>40</v>
      </c>
      <c r="D4" s="1" t="s">
        <v>19</v>
      </c>
      <c r="E4" s="3">
        <v>0.7</v>
      </c>
      <c r="F4" s="40"/>
      <c r="G4" s="1" t="s">
        <v>12</v>
      </c>
      <c r="I4" s="32" t="b">
        <f>SUM(H5:H6)+SUM(H10:H11)=SUM(B3:B10)</f>
        <v>1</v>
      </c>
    </row>
    <row r="5" spans="1:13" ht="17.649999999999999">
      <c r="A5" s="7" t="s">
        <v>39</v>
      </c>
      <c r="B5" s="8"/>
      <c r="C5" s="10"/>
      <c r="F5" s="40"/>
      <c r="G5" s="7" t="s">
        <v>13</v>
      </c>
      <c r="H5" s="37">
        <f>J19</f>
        <v>599531.70731707313</v>
      </c>
    </row>
    <row r="6" spans="1:13" ht="17.649999999999999">
      <c r="F6" s="40"/>
      <c r="G6" s="7" t="s">
        <v>58</v>
      </c>
      <c r="H6" s="37">
        <f>J20</f>
        <v>469035.8224543081</v>
      </c>
    </row>
    <row r="7" spans="1:13" ht="17.649999999999999">
      <c r="A7" s="7" t="s">
        <v>3</v>
      </c>
      <c r="C7" s="7"/>
      <c r="F7" s="40"/>
      <c r="G7" s="7" t="s">
        <v>17</v>
      </c>
      <c r="H7" s="37">
        <f>SUM(H5:H6)</f>
        <v>1068567.5297713813</v>
      </c>
      <c r="J7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K7" s="2"/>
      <c r="L7" s="2"/>
      <c r="M7" s="2"/>
    </row>
    <row r="8" spans="1:13" ht="17.649999999999999">
      <c r="A8" s="7" t="s">
        <v>0</v>
      </c>
      <c r="B8" s="8">
        <v>643200</v>
      </c>
      <c r="D8" s="1" t="s">
        <v>20</v>
      </c>
      <c r="E8" s="11">
        <v>2400</v>
      </c>
      <c r="F8" s="40"/>
      <c r="J8" s="2"/>
      <c r="K8" s="2"/>
      <c r="L8" s="2"/>
      <c r="M8" s="2"/>
    </row>
    <row r="9" spans="1:13">
      <c r="A9" s="1" t="s">
        <v>1</v>
      </c>
      <c r="B9" s="8">
        <v>680640</v>
      </c>
      <c r="C9" s="10" t="s">
        <v>40</v>
      </c>
      <c r="D9" s="1" t="s">
        <v>6</v>
      </c>
      <c r="E9" s="11">
        <v>5800</v>
      </c>
      <c r="F9" s="40"/>
      <c r="G9" s="1" t="s">
        <v>14</v>
      </c>
      <c r="J9" s="2"/>
      <c r="K9" s="2"/>
      <c r="L9" s="2"/>
      <c r="M9" s="2"/>
    </row>
    <row r="10" spans="1:13" ht="17.649999999999999">
      <c r="A10" s="7" t="s">
        <v>39</v>
      </c>
      <c r="B10" s="8"/>
      <c r="C10" s="10"/>
      <c r="F10" s="40"/>
      <c r="G10" s="7" t="s">
        <v>13</v>
      </c>
      <c r="H10" s="37">
        <f>SUM(B3,B8)-J19</f>
        <v>2131668.2926829271</v>
      </c>
    </row>
    <row r="11" spans="1:13" ht="17.649999999999999">
      <c r="D11" s="1" t="s">
        <v>21</v>
      </c>
      <c r="E11" s="13">
        <v>1800</v>
      </c>
      <c r="F11" s="40"/>
      <c r="G11" s="7" t="s">
        <v>58</v>
      </c>
      <c r="H11" s="37">
        <f>SUM(B4,B5,B9)-J20</f>
        <v>2382404.1775456918</v>
      </c>
    </row>
    <row r="12" spans="1:13" ht="17.649999999999999">
      <c r="C12" s="7"/>
      <c r="F12" s="40"/>
      <c r="G12" s="7" t="s">
        <v>17</v>
      </c>
      <c r="H12" s="37">
        <f>SUM(H10:H11)</f>
        <v>4514072.4702286189</v>
      </c>
    </row>
    <row r="13" spans="1:13">
      <c r="F13" s="40"/>
    </row>
    <row r="14" spans="1:13" ht="13.15" thickBot="1">
      <c r="B14" s="15"/>
      <c r="C14" s="15" t="s">
        <v>11</v>
      </c>
      <c r="D14" s="32" t="b">
        <f>SUM(C15:C20)-E15=SUM(E15:E20)</f>
        <v>1</v>
      </c>
      <c r="E14" s="15"/>
      <c r="F14" s="40"/>
      <c r="G14" s="15"/>
      <c r="H14" s="15" t="s">
        <v>11</v>
      </c>
      <c r="I14" s="15"/>
      <c r="J14" s="15"/>
    </row>
    <row r="15" spans="1:13" ht="18.399999999999999" thickTop="1" thickBot="1">
      <c r="B15" s="18" t="s">
        <v>4</v>
      </c>
      <c r="C15" s="34">
        <f>E8</f>
        <v>2400</v>
      </c>
      <c r="D15" s="19" t="s">
        <v>8</v>
      </c>
      <c r="E15" s="33">
        <f>SUM(C15,C19)-E17-E19</f>
        <v>6400</v>
      </c>
      <c r="F15" s="40"/>
      <c r="G15" s="18" t="s">
        <v>4</v>
      </c>
      <c r="H15" s="27" t="s">
        <v>15</v>
      </c>
      <c r="I15" s="28" t="s">
        <v>8</v>
      </c>
      <c r="J15" s="33">
        <f>SUM(B3:B10)-SUM(J19:J20)</f>
        <v>4514072.4702286189</v>
      </c>
    </row>
    <row r="16" spans="1:13" ht="18.399999999999999" thickTop="1" thickBot="1">
      <c r="A16" s="21"/>
      <c r="B16" s="22" t="s">
        <v>5</v>
      </c>
      <c r="C16" s="35">
        <f>C15*E3</f>
        <v>960</v>
      </c>
      <c r="D16" s="23"/>
      <c r="E16" s="24"/>
      <c r="F16" s="40"/>
      <c r="G16" s="22" t="s">
        <v>5</v>
      </c>
      <c r="H16" s="29"/>
      <c r="J16" s="24"/>
    </row>
    <row r="17" spans="1:10" ht="13.15" thickTop="1">
      <c r="A17" s="21"/>
      <c r="E17" s="21"/>
      <c r="F17" s="40"/>
      <c r="H17" s="29"/>
      <c r="J17" s="21"/>
    </row>
    <row r="18" spans="1:10" ht="13.15" thickBot="1">
      <c r="A18" s="21"/>
      <c r="D18" s="15"/>
      <c r="E18" s="25"/>
      <c r="F18" s="40"/>
      <c r="H18" s="29"/>
      <c r="J18" s="30"/>
    </row>
    <row r="19" spans="1:10" ht="18.399999999999999" thickTop="1" thickBot="1">
      <c r="A19" s="21"/>
      <c r="B19" s="18" t="s">
        <v>6</v>
      </c>
      <c r="C19" s="34">
        <f>E9</f>
        <v>5800</v>
      </c>
      <c r="D19" s="26" t="s">
        <v>9</v>
      </c>
      <c r="E19" s="36">
        <f>E11</f>
        <v>1800</v>
      </c>
      <c r="F19" s="40"/>
      <c r="G19" s="18" t="s">
        <v>6</v>
      </c>
      <c r="H19" s="29"/>
      <c r="I19" s="18" t="s">
        <v>9</v>
      </c>
      <c r="J19" s="34">
        <f>SUM(B3,B8)/SUM(C19,C15)*E19</f>
        <v>599531.70731707313</v>
      </c>
    </row>
    <row r="20" spans="1:10" ht="18.399999999999999" thickTop="1" thickBot="1">
      <c r="A20" s="21"/>
      <c r="B20" s="22" t="s">
        <v>7</v>
      </c>
      <c r="C20" s="35">
        <f>SUM(E15,E18,E20)-C16</f>
        <v>6700</v>
      </c>
      <c r="D20" s="22" t="s">
        <v>10</v>
      </c>
      <c r="E20" s="35">
        <f>E19*E4</f>
        <v>1260</v>
      </c>
      <c r="F20" s="40"/>
      <c r="G20" s="22" t="s">
        <v>7</v>
      </c>
      <c r="H20" s="31"/>
      <c r="I20" s="22" t="s">
        <v>10</v>
      </c>
      <c r="J20" s="38">
        <f>SUM(B4:B5,B9:B10)/SUM(C20,C16)*E20</f>
        <v>469035.8224543081</v>
      </c>
    </row>
    <row r="21" spans="1:10" ht="13.15" thickTop="1">
      <c r="F21" s="40"/>
    </row>
    <row r="22" spans="1:10">
      <c r="F22" s="40"/>
    </row>
    <row r="23" spans="1:10">
      <c r="F23" s="40"/>
    </row>
    <row r="24" spans="1:10" ht="17.649999999999999">
      <c r="B24" s="41" t="s">
        <v>30</v>
      </c>
      <c r="C24" s="41" t="s">
        <v>31</v>
      </c>
      <c r="D24" s="7" t="s">
        <v>37</v>
      </c>
      <c r="F24" s="40"/>
      <c r="G24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H24" s="2"/>
      <c r="I24" s="2"/>
      <c r="J24" s="2"/>
    </row>
    <row r="25" spans="1:10" ht="17.649999999999999">
      <c r="A25" s="7" t="s">
        <v>32</v>
      </c>
      <c r="B25" s="42">
        <v>4200</v>
      </c>
      <c r="C25" s="42">
        <v>2200</v>
      </c>
      <c r="D25" s="45" t="b">
        <f>SUM(B25:C25)=E15</f>
        <v>1</v>
      </c>
      <c r="F25" s="40"/>
      <c r="G25" s="2"/>
      <c r="H25" s="2"/>
      <c r="I25" s="2"/>
      <c r="J25" s="2"/>
    </row>
    <row r="26" spans="1:10" ht="17.649999999999999">
      <c r="A26" s="1" t="s">
        <v>33</v>
      </c>
      <c r="B26" s="42">
        <v>1</v>
      </c>
      <c r="C26" s="43">
        <v>0.6</v>
      </c>
      <c r="D26" s="7"/>
      <c r="F26" s="40"/>
      <c r="G26" s="2"/>
      <c r="H26" s="2"/>
      <c r="I26" s="2"/>
      <c r="J26" s="2"/>
    </row>
    <row r="27" spans="1:10" ht="17.649999999999999">
      <c r="A27" s="44" t="s">
        <v>34</v>
      </c>
      <c r="B27" s="37">
        <f>B25*B26</f>
        <v>4200</v>
      </c>
      <c r="C27" s="37">
        <f>C25*C26</f>
        <v>1320</v>
      </c>
      <c r="F27" s="40"/>
    </row>
    <row r="28" spans="1:10">
      <c r="A28" s="44" t="s">
        <v>35</v>
      </c>
      <c r="B28" s="37">
        <f>$J$15/SUM($B$27:$C$27)*B27</f>
        <v>3434620.3577826447</v>
      </c>
      <c r="C28" s="37">
        <f>$J$15/SUM($B$27:$C$27)*C27</f>
        <v>1079452.112445974</v>
      </c>
      <c r="D28" s="45" t="b">
        <f>SUM(B28:C28)=SUM(H12)</f>
        <v>1</v>
      </c>
      <c r="F28" s="40"/>
    </row>
    <row r="29" spans="1:10" ht="17.649999999999999">
      <c r="A29" s="7" t="s">
        <v>36</v>
      </c>
      <c r="B29" s="46">
        <f>B28/B25</f>
        <v>817.76675185301065</v>
      </c>
      <c r="C29" s="46">
        <f>C28/C25</f>
        <v>490.66005111180635</v>
      </c>
      <c r="F29" s="40"/>
    </row>
    <row r="30" spans="1:10">
      <c r="F30" s="40"/>
    </row>
    <row r="31" spans="1:10">
      <c r="F31" s="40"/>
    </row>
    <row r="32" spans="1:10">
      <c r="F32" s="40"/>
    </row>
    <row r="33" spans="6:6">
      <c r="F33" s="40"/>
    </row>
    <row r="34" spans="6:6">
      <c r="F34" s="40"/>
    </row>
  </sheetData>
  <sheetProtection algorithmName="SHA-512" hashValue="AThZKg4lZOSqTH6xl2d8LnZ8tUSJvtbX/GmaE81dzZaziUtLduoL43zZBCMgihYAjQ+VcQXkokAIGB/ScbTihQ==" saltValue="PphvI8ipTuaFH6gyIHcnIg==" spinCount="100000" sheet="1" objects="1" scenarios="1"/>
  <mergeCells count="6">
    <mergeCell ref="F1:F34"/>
    <mergeCell ref="C4:C5"/>
    <mergeCell ref="H15:H20"/>
    <mergeCell ref="C9:C10"/>
    <mergeCell ref="G24:J26"/>
    <mergeCell ref="J7:M9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18C8C-9FA0-42F1-ABAD-0769C585D505}">
  <sheetPr codeName="Sheet3"/>
  <dimension ref="A1:K34"/>
  <sheetViews>
    <sheetView workbookViewId="0">
      <selection activeCell="I4" sqref="I4 H5:H7 H10:H12 B12:B14 D14 E15 J15 C15:C16 C19:C20 E17:E20 J19:J20 G22:J24 D25 B27:C27 B28:D28 B29:C29 A31:D33"/>
    </sheetView>
  </sheetViews>
  <sheetFormatPr defaultRowHeight="12.75"/>
  <cols>
    <col min="1" max="1" width="9.06640625" style="1"/>
    <col min="2" max="2" width="16.9296875" style="1" bestFit="1" customWidth="1"/>
    <col min="3" max="3" width="16.9296875" style="1" customWidth="1"/>
    <col min="4" max="5" width="16.9296875" style="1" bestFit="1" customWidth="1"/>
    <col min="6" max="6" width="16.33203125" style="1" customWidth="1"/>
    <col min="7" max="7" width="27.06640625" style="1" customWidth="1"/>
    <col min="8" max="8" width="17.265625" style="1" customWidth="1"/>
    <col min="9" max="9" width="16.9296875" style="1" bestFit="1" customWidth="1"/>
    <col min="10" max="10" width="20" style="1" customWidth="1"/>
    <col min="11" max="16384" width="9.06640625" style="1"/>
  </cols>
  <sheetData>
    <row r="1" spans="1:11" ht="17.649999999999999">
      <c r="A1" s="3"/>
      <c r="B1" s="4" t="s">
        <v>22</v>
      </c>
      <c r="C1" s="5"/>
      <c r="D1" s="4" t="s">
        <v>23</v>
      </c>
      <c r="F1" s="39" t="s">
        <v>29</v>
      </c>
    </row>
    <row r="2" spans="1:11" ht="17.649999999999999">
      <c r="A2" s="1" t="s">
        <v>2</v>
      </c>
      <c r="C2" s="6"/>
      <c r="D2" s="4" t="s">
        <v>24</v>
      </c>
      <c r="F2" s="40"/>
    </row>
    <row r="3" spans="1:11" ht="17.649999999999999">
      <c r="A3" s="7" t="s">
        <v>0</v>
      </c>
      <c r="B3" s="47">
        <v>5500</v>
      </c>
      <c r="D3" s="1" t="s">
        <v>18</v>
      </c>
      <c r="E3" s="9">
        <v>0.2</v>
      </c>
      <c r="F3" s="40"/>
      <c r="I3" s="1" t="s">
        <v>16</v>
      </c>
      <c r="J3" s="7" t="s">
        <v>41</v>
      </c>
    </row>
    <row r="4" spans="1:11" ht="17.649999999999999">
      <c r="A4" s="1" t="s">
        <v>1</v>
      </c>
      <c r="B4" s="47">
        <v>7500</v>
      </c>
      <c r="C4" s="10" t="s">
        <v>59</v>
      </c>
      <c r="D4" s="1" t="s">
        <v>19</v>
      </c>
      <c r="E4" s="3">
        <v>0.5</v>
      </c>
      <c r="F4" s="40"/>
      <c r="G4" s="1" t="s">
        <v>12</v>
      </c>
      <c r="I4" s="32" t="b">
        <f>SUM(H5:H6)+SUM(H10:H11)+SUM(K4:K5)=SUM(B3:B10)</f>
        <v>1</v>
      </c>
      <c r="J4" s="7" t="s">
        <v>13</v>
      </c>
      <c r="K4" s="6">
        <v>250</v>
      </c>
    </row>
    <row r="5" spans="1:11" ht="17.649999999999999">
      <c r="A5" s="7" t="s">
        <v>39</v>
      </c>
      <c r="B5" s="8"/>
      <c r="C5" s="10"/>
      <c r="D5" s="1" t="s">
        <v>43</v>
      </c>
      <c r="E5" s="3">
        <v>0.3</v>
      </c>
      <c r="F5" s="40"/>
      <c r="G5" s="7" t="s">
        <v>13</v>
      </c>
      <c r="H5" s="54">
        <f>J19</f>
        <v>2500</v>
      </c>
      <c r="J5" s="7" t="s">
        <v>58</v>
      </c>
      <c r="K5" s="6">
        <v>40</v>
      </c>
    </row>
    <row r="6" spans="1:11" ht="17.649999999999999">
      <c r="F6" s="40"/>
      <c r="G6" s="7" t="s">
        <v>58</v>
      </c>
      <c r="H6" s="54">
        <f>J20</f>
        <v>2240</v>
      </c>
    </row>
    <row r="7" spans="1:11" ht="17.649999999999999">
      <c r="A7" s="7" t="s">
        <v>3</v>
      </c>
      <c r="C7" s="7"/>
      <c r="F7" s="40"/>
      <c r="G7" s="7" t="s">
        <v>17</v>
      </c>
      <c r="H7" s="54">
        <f>SUM(H5:H6)</f>
        <v>4740</v>
      </c>
    </row>
    <row r="8" spans="1:11" ht="17.649999999999999">
      <c r="A8" s="7" t="s">
        <v>0</v>
      </c>
      <c r="B8" s="47">
        <v>1000</v>
      </c>
      <c r="D8" s="1" t="s">
        <v>20</v>
      </c>
      <c r="E8" s="3">
        <v>5</v>
      </c>
      <c r="F8" s="40"/>
    </row>
    <row r="9" spans="1:11">
      <c r="A9" s="1" t="s">
        <v>1</v>
      </c>
      <c r="B9" s="47">
        <v>1500</v>
      </c>
      <c r="C9" s="10" t="s">
        <v>42</v>
      </c>
      <c r="D9" s="1" t="s">
        <v>6</v>
      </c>
      <c r="E9" s="3">
        <v>30</v>
      </c>
      <c r="F9" s="40"/>
      <c r="G9" s="1" t="s">
        <v>14</v>
      </c>
    </row>
    <row r="10" spans="1:11" ht="17.649999999999999">
      <c r="A10" s="7" t="s">
        <v>39</v>
      </c>
      <c r="B10" s="8"/>
      <c r="C10" s="10"/>
      <c r="D10" s="1" t="s">
        <v>44</v>
      </c>
      <c r="E10" s="3">
        <v>10</v>
      </c>
      <c r="F10" s="40"/>
      <c r="G10" s="7" t="s">
        <v>13</v>
      </c>
      <c r="H10" s="54">
        <f>SUM(B3,B8)-J19-K4</f>
        <v>3750</v>
      </c>
    </row>
    <row r="11" spans="1:11" ht="17.649999999999999">
      <c r="D11" s="1" t="s">
        <v>21</v>
      </c>
      <c r="E11" s="3">
        <v>10</v>
      </c>
      <c r="F11" s="40"/>
      <c r="G11" s="7" t="s">
        <v>58</v>
      </c>
      <c r="H11" s="54">
        <f>SUM(B4,B5,B9)-J20-K5</f>
        <v>6720</v>
      </c>
    </row>
    <row r="12" spans="1:11" ht="17.649999999999999">
      <c r="A12" s="7" t="s">
        <v>45</v>
      </c>
      <c r="B12" s="55" t="str">
        <f>IF(B13&gt;=B14,"期末負担要","期末負担不要")</f>
        <v>期末負担要</v>
      </c>
      <c r="C12" s="7"/>
      <c r="F12" s="40"/>
      <c r="G12" s="7" t="s">
        <v>17</v>
      </c>
      <c r="H12" s="54">
        <f>SUM(H10:H11)</f>
        <v>10470</v>
      </c>
    </row>
    <row r="13" spans="1:11">
      <c r="A13" s="1" t="s">
        <v>47</v>
      </c>
      <c r="B13" s="56">
        <f>E4</f>
        <v>0.5</v>
      </c>
      <c r="F13" s="40"/>
    </row>
    <row r="14" spans="1:11" ht="18" thickBot="1">
      <c r="A14" s="7" t="s">
        <v>48</v>
      </c>
      <c r="B14" s="57">
        <f>E5</f>
        <v>0.3</v>
      </c>
      <c r="C14" s="15" t="s">
        <v>11</v>
      </c>
      <c r="D14" s="32" t="b">
        <f>SUM(C15:C20)-E15=SUM(E15:E20)</f>
        <v>1</v>
      </c>
      <c r="E14" s="15"/>
      <c r="F14" s="40"/>
      <c r="G14" s="15"/>
      <c r="H14" s="15" t="s">
        <v>11</v>
      </c>
      <c r="I14" s="15"/>
      <c r="J14" s="15"/>
    </row>
    <row r="15" spans="1:11" ht="18.399999999999999" thickTop="1" thickBot="1">
      <c r="B15" s="18" t="s">
        <v>4</v>
      </c>
      <c r="C15" s="60">
        <f>E8</f>
        <v>5</v>
      </c>
      <c r="D15" s="19" t="s">
        <v>8</v>
      </c>
      <c r="E15" s="58">
        <f>SUM(C15,C19)-E17-E19</f>
        <v>15</v>
      </c>
      <c r="F15" s="40"/>
      <c r="G15" s="18" t="s">
        <v>4</v>
      </c>
      <c r="H15" s="27" t="s">
        <v>15</v>
      </c>
      <c r="I15" s="28" t="s">
        <v>8</v>
      </c>
      <c r="J15" s="59">
        <f>SUM(B3:B10)-SUM(J19:J20)</f>
        <v>10760</v>
      </c>
    </row>
    <row r="16" spans="1:11" ht="18.399999999999999" thickTop="1" thickBot="1">
      <c r="A16" s="21"/>
      <c r="B16" s="22" t="s">
        <v>5</v>
      </c>
      <c r="C16" s="61">
        <f>C15*E3</f>
        <v>1</v>
      </c>
      <c r="D16" s="48"/>
      <c r="E16" s="49"/>
      <c r="F16" s="40"/>
      <c r="G16" s="22" t="s">
        <v>5</v>
      </c>
      <c r="H16" s="29"/>
      <c r="J16" s="24"/>
    </row>
    <row r="17" spans="1:10" ht="13.15" thickTop="1">
      <c r="A17" s="21"/>
      <c r="C17" s="21"/>
      <c r="D17" s="50" t="s">
        <v>44</v>
      </c>
      <c r="E17" s="62">
        <f>E10</f>
        <v>10</v>
      </c>
      <c r="F17" s="40"/>
      <c r="G17" s="50"/>
      <c r="H17" s="29"/>
      <c r="J17" s="21"/>
    </row>
    <row r="18" spans="1:10" ht="13.15" thickBot="1">
      <c r="A18" s="21"/>
      <c r="C18" s="21"/>
      <c r="D18" s="51" t="s">
        <v>49</v>
      </c>
      <c r="E18" s="61">
        <f>E17*E5</f>
        <v>3</v>
      </c>
      <c r="F18" s="40"/>
      <c r="G18" s="51"/>
      <c r="H18" s="29"/>
      <c r="J18" s="21"/>
    </row>
    <row r="19" spans="1:10" ht="18.399999999999999" thickTop="1" thickBot="1">
      <c r="A19" s="21"/>
      <c r="B19" s="18" t="s">
        <v>6</v>
      </c>
      <c r="C19" s="60">
        <f>E9</f>
        <v>30</v>
      </c>
      <c r="D19" s="18" t="s">
        <v>9</v>
      </c>
      <c r="E19" s="60">
        <f>E11</f>
        <v>10</v>
      </c>
      <c r="F19" s="40"/>
      <c r="G19" s="18" t="s">
        <v>6</v>
      </c>
      <c r="H19" s="29"/>
      <c r="I19" s="52" t="s">
        <v>9</v>
      </c>
      <c r="J19" s="63">
        <f>IF(B12="期末負担要",SUM(B3,B8,-K4)/(SUM(C19,C15)-E17)*E19,SUM(B3,B8)/(SUM(C19,C15))*E19)</f>
        <v>2500</v>
      </c>
    </row>
    <row r="20" spans="1:10" ht="18.399999999999999" thickTop="1" thickBot="1">
      <c r="A20" s="21"/>
      <c r="B20" s="22" t="s">
        <v>7</v>
      </c>
      <c r="C20" s="61">
        <f>SUM(E15,E18,E20)-C16</f>
        <v>22</v>
      </c>
      <c r="D20" s="22" t="s">
        <v>10</v>
      </c>
      <c r="E20" s="61">
        <f>E19*E4</f>
        <v>5</v>
      </c>
      <c r="F20" s="40"/>
      <c r="G20" s="22" t="s">
        <v>7</v>
      </c>
      <c r="H20" s="31"/>
      <c r="I20" s="53" t="s">
        <v>10</v>
      </c>
      <c r="J20" s="64">
        <f>IF(B12="期末負担要",SUM(B4:B5,B9:B10,-K5)/(SUM(C20,C16)-E18)*E20,SUM(B4:B5,B9:B10)/(SUM(C20,C16))*E20)</f>
        <v>2240</v>
      </c>
    </row>
    <row r="21" spans="1:10" ht="13.15" thickTop="1">
      <c r="F21" s="40"/>
    </row>
    <row r="22" spans="1:10">
      <c r="F22" s="40"/>
      <c r="G22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H22" s="2"/>
      <c r="I22" s="2"/>
      <c r="J22" s="2"/>
    </row>
    <row r="23" spans="1:10">
      <c r="F23" s="40"/>
      <c r="G23" s="2"/>
      <c r="H23" s="2"/>
      <c r="I23" s="2"/>
      <c r="J23" s="2"/>
    </row>
    <row r="24" spans="1:10" ht="17.649999999999999">
      <c r="B24" s="41" t="s">
        <v>30</v>
      </c>
      <c r="C24" s="41" t="s">
        <v>31</v>
      </c>
      <c r="D24" s="7" t="s">
        <v>37</v>
      </c>
      <c r="F24" s="40"/>
      <c r="G24" s="2"/>
      <c r="H24" s="2"/>
      <c r="I24" s="2"/>
      <c r="J24" s="2"/>
    </row>
    <row r="25" spans="1:10" ht="17.649999999999999">
      <c r="A25" s="7" t="s">
        <v>32</v>
      </c>
      <c r="B25" s="42">
        <v>4200</v>
      </c>
      <c r="C25" s="42">
        <v>2200</v>
      </c>
      <c r="D25" s="45" t="b">
        <f>SUM(B25:C25)=E15</f>
        <v>0</v>
      </c>
      <c r="F25" s="40"/>
    </row>
    <row r="26" spans="1:10" ht="17.649999999999999">
      <c r="A26" s="1" t="s">
        <v>33</v>
      </c>
      <c r="B26" s="42">
        <v>1</v>
      </c>
      <c r="C26" s="43">
        <v>0.6</v>
      </c>
      <c r="D26" s="7"/>
      <c r="F26" s="40"/>
    </row>
    <row r="27" spans="1:10" ht="17.649999999999999">
      <c r="A27" s="44" t="s">
        <v>34</v>
      </c>
      <c r="B27" s="37">
        <f>B25*B26</f>
        <v>4200</v>
      </c>
      <c r="C27" s="37">
        <f>C25*C26</f>
        <v>1320</v>
      </c>
      <c r="F27" s="40"/>
    </row>
    <row r="28" spans="1:10">
      <c r="A28" s="44" t="s">
        <v>35</v>
      </c>
      <c r="B28" s="37">
        <f>$J$15/SUM($B$27:$C$27)*B27</f>
        <v>8186.95652173913</v>
      </c>
      <c r="C28" s="37">
        <f>$J$15/SUM($B$27:$C$27)*C27</f>
        <v>2573.0434782608695</v>
      </c>
      <c r="D28" s="45" t="b">
        <f>SUM(B28:C28)=SUM(H12)</f>
        <v>0</v>
      </c>
      <c r="F28" s="40"/>
    </row>
    <row r="29" spans="1:10" ht="17.649999999999999">
      <c r="A29" s="7" t="s">
        <v>36</v>
      </c>
      <c r="B29" s="46">
        <f>B28/B25</f>
        <v>1.9492753623188406</v>
      </c>
      <c r="C29" s="46">
        <f>C28/C25</f>
        <v>1.1695652173913043</v>
      </c>
      <c r="F29" s="40"/>
    </row>
    <row r="30" spans="1:10">
      <c r="F30" s="40"/>
    </row>
    <row r="31" spans="1:10">
      <c r="A31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B31" s="2"/>
      <c r="C31" s="2"/>
      <c r="D31" s="2"/>
      <c r="F31" s="40"/>
    </row>
    <row r="32" spans="1:10">
      <c r="A32" s="2"/>
      <c r="B32" s="2"/>
      <c r="C32" s="2"/>
      <c r="D32" s="2"/>
      <c r="F32" s="40"/>
    </row>
    <row r="33" spans="1:6">
      <c r="A33" s="2"/>
      <c r="B33" s="2"/>
      <c r="C33" s="2"/>
      <c r="D33" s="2"/>
      <c r="F33" s="40"/>
    </row>
    <row r="34" spans="1:6">
      <c r="F34" s="40"/>
    </row>
  </sheetData>
  <sheetProtection algorithmName="SHA-512" hashValue="kJifZyxNEr58aRkXvubNpg0YFbXcmRpcFpvinHZtJ0506AB8gOuNCYX9FdYkpgrKgiChLz9fESrXfx8fTCYGnQ==" saltValue="EkC0DftiknG2JUsBbPIGFA==" spinCount="100000" sheet="1" objects="1" scenarios="1"/>
  <mergeCells count="6">
    <mergeCell ref="F1:F34"/>
    <mergeCell ref="C4:C5"/>
    <mergeCell ref="C9:C10"/>
    <mergeCell ref="H15:H20"/>
    <mergeCell ref="A31:D33"/>
    <mergeCell ref="G22:J24"/>
  </mergeCells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451F9-DF17-435A-8E2A-2B43020F7A3A}">
  <sheetPr codeName="Sheet7"/>
  <dimension ref="A1:L34"/>
  <sheetViews>
    <sheetView workbookViewId="0">
      <selection activeCell="H2" sqref="H2 L5:L7 H5:H9 J5:J9 L10 B12:B14 D14 E15 J15 C15:C16 C19:C20 E17:E20 J17:J20 G23:J25 D25 B27:C27 B28:D28 B29:C29 A31:D33"/>
    </sheetView>
  </sheetViews>
  <sheetFormatPr defaultRowHeight="12.75"/>
  <cols>
    <col min="1" max="1" width="12.86328125" style="1" bestFit="1" customWidth="1"/>
    <col min="2" max="2" width="16.9296875" style="1" bestFit="1" customWidth="1"/>
    <col min="3" max="3" width="16.9296875" style="1" customWidth="1"/>
    <col min="4" max="5" width="16.9296875" style="1" bestFit="1" customWidth="1"/>
    <col min="6" max="6" width="16.33203125" style="1" customWidth="1"/>
    <col min="7" max="7" width="27.06640625" style="1" customWidth="1"/>
    <col min="8" max="8" width="17.265625" style="1" customWidth="1"/>
    <col min="9" max="9" width="16.9296875" style="1" bestFit="1" customWidth="1"/>
    <col min="10" max="10" width="20" style="1" customWidth="1"/>
    <col min="11" max="11" width="19.796875" style="1" bestFit="1" customWidth="1"/>
    <col min="12" max="16384" width="9.06640625" style="1"/>
  </cols>
  <sheetData>
    <row r="1" spans="1:12" ht="17.649999999999999">
      <c r="A1" s="3"/>
      <c r="B1" s="4" t="s">
        <v>22</v>
      </c>
      <c r="C1" s="5"/>
      <c r="D1" s="4" t="s">
        <v>23</v>
      </c>
      <c r="F1" s="39" t="s">
        <v>29</v>
      </c>
      <c r="H1" s="1" t="s">
        <v>16</v>
      </c>
    </row>
    <row r="2" spans="1:12" ht="17.649999999999999">
      <c r="A2" s="1" t="s">
        <v>2</v>
      </c>
      <c r="C2" s="6"/>
      <c r="D2" s="4" t="s">
        <v>24</v>
      </c>
      <c r="F2" s="40"/>
      <c r="H2" s="67" t="b">
        <f>SUM(H5:H6)+SUM(J5:J6)+SUM(L5:L6)=SUM(B3:B10)</f>
        <v>1</v>
      </c>
    </row>
    <row r="3" spans="1:12" ht="17.649999999999999">
      <c r="A3" s="7" t="s">
        <v>0</v>
      </c>
      <c r="B3" s="8">
        <v>7550</v>
      </c>
      <c r="D3" s="1" t="s">
        <v>18</v>
      </c>
      <c r="E3" s="9">
        <v>0.3</v>
      </c>
      <c r="F3" s="40"/>
    </row>
    <row r="4" spans="1:12">
      <c r="A4" s="1" t="s">
        <v>1</v>
      </c>
      <c r="B4" s="8">
        <v>19850</v>
      </c>
      <c r="C4" s="10" t="s">
        <v>59</v>
      </c>
      <c r="D4" s="1" t="s">
        <v>19</v>
      </c>
      <c r="E4" s="3">
        <v>0.5</v>
      </c>
      <c r="F4" s="40"/>
      <c r="G4" s="1" t="s">
        <v>12</v>
      </c>
      <c r="I4" s="1" t="s">
        <v>14</v>
      </c>
      <c r="K4" s="1" t="s">
        <v>50</v>
      </c>
    </row>
    <row r="5" spans="1:12" ht="17.649999999999999" customHeight="1">
      <c r="A5" s="7" t="s">
        <v>39</v>
      </c>
      <c r="B5" s="8"/>
      <c r="C5" s="10"/>
      <c r="D5" s="1" t="s">
        <v>43</v>
      </c>
      <c r="E5" s="3">
        <v>0.4</v>
      </c>
      <c r="F5" s="40"/>
      <c r="G5" s="7" t="s">
        <v>13</v>
      </c>
      <c r="H5" s="68">
        <f>J19</f>
        <v>607.54716981132083</v>
      </c>
      <c r="I5" s="7" t="s">
        <v>13</v>
      </c>
      <c r="J5" s="68">
        <f>SUM(B3,B8)-J19-J17</f>
        <v>6531.132075471698</v>
      </c>
      <c r="K5" s="7" t="s">
        <v>13</v>
      </c>
      <c r="L5" s="68">
        <f>J17</f>
        <v>911.32075471698113</v>
      </c>
    </row>
    <row r="6" spans="1:12" ht="17.649999999999999">
      <c r="F6" s="40"/>
      <c r="G6" s="7" t="s">
        <v>58</v>
      </c>
      <c r="H6" s="68">
        <f>J20</f>
        <v>854.43037974683546</v>
      </c>
      <c r="I6" s="7" t="s">
        <v>58</v>
      </c>
      <c r="J6" s="68">
        <f>SUM(B4,B5,B9)-J20-J18</f>
        <v>18370.253164556962</v>
      </c>
      <c r="K6" s="7" t="s">
        <v>58</v>
      </c>
      <c r="L6" s="68">
        <f>J18</f>
        <v>1025.3164556962026</v>
      </c>
    </row>
    <row r="7" spans="1:12" ht="17.649999999999999">
      <c r="A7" s="7" t="s">
        <v>3</v>
      </c>
      <c r="C7" s="7"/>
      <c r="F7" s="40"/>
      <c r="G7" s="7" t="s">
        <v>17</v>
      </c>
      <c r="H7" s="68">
        <f>SUM(H5:H6)</f>
        <v>1461.9775495581562</v>
      </c>
      <c r="I7" s="7" t="s">
        <v>17</v>
      </c>
      <c r="J7" s="68">
        <f>SUM(J5:J6)</f>
        <v>24901.38524002866</v>
      </c>
      <c r="K7" s="7" t="s">
        <v>17</v>
      </c>
      <c r="L7" s="68">
        <f>SUM(L5:L6)</f>
        <v>1936.6372104131838</v>
      </c>
    </row>
    <row r="8" spans="1:12" ht="17.649999999999999">
      <c r="A8" s="7" t="s">
        <v>0</v>
      </c>
      <c r="B8" s="8">
        <v>500</v>
      </c>
      <c r="D8" s="1" t="s">
        <v>20</v>
      </c>
      <c r="E8" s="3">
        <v>30</v>
      </c>
      <c r="F8" s="40"/>
      <c r="G8" s="7" t="s">
        <v>51</v>
      </c>
      <c r="H8" s="69">
        <f>IF(B12="期末負担要",L10/SUM(C19,C15,-E17)*E19,0)</f>
        <v>159.71380514154757</v>
      </c>
      <c r="I8" s="7" t="s">
        <v>51</v>
      </c>
      <c r="J8" s="69">
        <f>IF(B12="期末負担要",L10/SUM(C19,C15,-E17)*(E15),SUM(L10))</f>
        <v>1716.9234052716363</v>
      </c>
      <c r="K8" s="7" t="s">
        <v>55</v>
      </c>
      <c r="L8" s="65">
        <v>-60</v>
      </c>
    </row>
    <row r="9" spans="1:12" ht="17.649999999999999">
      <c r="A9" s="1" t="s">
        <v>1</v>
      </c>
      <c r="B9" s="8">
        <v>400</v>
      </c>
      <c r="C9" s="10" t="s">
        <v>42</v>
      </c>
      <c r="D9" s="1" t="s">
        <v>6</v>
      </c>
      <c r="E9" s="3">
        <v>500</v>
      </c>
      <c r="F9" s="40"/>
      <c r="G9" s="7" t="s">
        <v>53</v>
      </c>
      <c r="H9" s="68">
        <f>SUM(H7:H8)</f>
        <v>1621.6913546997037</v>
      </c>
      <c r="I9" s="7" t="s">
        <v>53</v>
      </c>
      <c r="J9" s="68">
        <f>SUM(J7:J8)</f>
        <v>26618.308645300294</v>
      </c>
      <c r="K9" s="7" t="s">
        <v>55</v>
      </c>
      <c r="L9" s="6"/>
    </row>
    <row r="10" spans="1:12" ht="17.649999999999999">
      <c r="A10" s="7" t="s">
        <v>39</v>
      </c>
      <c r="B10" s="8"/>
      <c r="C10" s="10"/>
      <c r="D10" s="1" t="s">
        <v>44</v>
      </c>
      <c r="E10" s="3">
        <v>60</v>
      </c>
      <c r="F10" s="40"/>
      <c r="G10" s="7"/>
      <c r="I10" s="7"/>
      <c r="K10" s="66" t="s">
        <v>50</v>
      </c>
      <c r="L10" s="68">
        <f>SUM(L7:L9)</f>
        <v>1876.6372104131838</v>
      </c>
    </row>
    <row r="11" spans="1:12" ht="17.649999999999999">
      <c r="D11" s="1" t="s">
        <v>21</v>
      </c>
      <c r="E11" s="3">
        <v>40</v>
      </c>
      <c r="F11" s="40"/>
      <c r="G11" s="7"/>
      <c r="H11" s="20"/>
      <c r="I11" s="7"/>
      <c r="J11" s="20"/>
    </row>
    <row r="12" spans="1:12" ht="17.649999999999999">
      <c r="A12" s="7" t="s">
        <v>45</v>
      </c>
      <c r="B12" s="70" t="str">
        <f>IF(B13&gt;=B14,"期末負担要","期末負担不要")</f>
        <v>期末負担要</v>
      </c>
      <c r="C12" s="7"/>
      <c r="F12" s="40"/>
    </row>
    <row r="13" spans="1:12">
      <c r="A13" s="1" t="s">
        <v>47</v>
      </c>
      <c r="B13" s="71">
        <f>E4</f>
        <v>0.5</v>
      </c>
      <c r="F13" s="40"/>
    </row>
    <row r="14" spans="1:12" ht="18" thickBot="1">
      <c r="A14" s="7" t="s">
        <v>48</v>
      </c>
      <c r="B14" s="72">
        <f>E5</f>
        <v>0.4</v>
      </c>
      <c r="C14" s="15" t="s">
        <v>11</v>
      </c>
      <c r="D14" s="67" t="b">
        <f>SUM(C15:C20)-E15=SUM(E15:E20)</f>
        <v>1</v>
      </c>
      <c r="E14" s="15"/>
      <c r="F14" s="40"/>
      <c r="G14" s="15"/>
      <c r="H14" s="15" t="s">
        <v>11</v>
      </c>
      <c r="I14" s="15"/>
      <c r="J14" s="15"/>
    </row>
    <row r="15" spans="1:12" ht="18.399999999999999" thickTop="1" thickBot="1">
      <c r="B15" s="18" t="s">
        <v>4</v>
      </c>
      <c r="C15" s="74">
        <f>E8</f>
        <v>30</v>
      </c>
      <c r="D15" s="19" t="s">
        <v>8</v>
      </c>
      <c r="E15" s="73">
        <f>SUM(C15,C19)-E17-E19</f>
        <v>430</v>
      </c>
      <c r="F15" s="40"/>
      <c r="G15" s="18" t="s">
        <v>4</v>
      </c>
      <c r="H15" s="27" t="s">
        <v>15</v>
      </c>
      <c r="I15" s="19" t="s">
        <v>8</v>
      </c>
      <c r="J15" s="73">
        <f>SUM(B3:B10)-SUM(J19:J20)-SUM(J17:J18)</f>
        <v>24901.38524002866</v>
      </c>
    </row>
    <row r="16" spans="1:12" ht="18.399999999999999" thickTop="1" thickBot="1">
      <c r="A16" s="21"/>
      <c r="B16" s="22" t="s">
        <v>5</v>
      </c>
      <c r="C16" s="75">
        <f>C15*E3</f>
        <v>9</v>
      </c>
      <c r="D16" s="48"/>
      <c r="E16" s="49"/>
      <c r="F16" s="40"/>
      <c r="G16" s="22" t="s">
        <v>5</v>
      </c>
      <c r="H16" s="29"/>
      <c r="I16" s="48"/>
      <c r="J16" s="49"/>
    </row>
    <row r="17" spans="1:10" ht="13.15" thickTop="1">
      <c r="A17" s="21"/>
      <c r="C17" s="21"/>
      <c r="D17" s="50" t="s">
        <v>44</v>
      </c>
      <c r="E17" s="76">
        <f>E10</f>
        <v>60</v>
      </c>
      <c r="F17" s="40"/>
      <c r="H17" s="29"/>
      <c r="I17" s="50" t="s">
        <v>44</v>
      </c>
      <c r="J17" s="76">
        <f>SUM(B3,B8)/(SUM(C19,C15))*E17</f>
        <v>911.32075471698113</v>
      </c>
    </row>
    <row r="18" spans="1:10" ht="13.15" thickBot="1">
      <c r="A18" s="21"/>
      <c r="C18" s="21"/>
      <c r="D18" s="51" t="s">
        <v>49</v>
      </c>
      <c r="E18" s="75">
        <f>E17*E5</f>
        <v>24</v>
      </c>
      <c r="F18" s="40"/>
      <c r="H18" s="29"/>
      <c r="I18" s="51" t="s">
        <v>49</v>
      </c>
      <c r="J18" s="77">
        <f>SUM(B4:B5,B9:B10)/(SUM(C20,C16))*E18</f>
        <v>1025.3164556962026</v>
      </c>
    </row>
    <row r="19" spans="1:10" ht="18.399999999999999" thickTop="1" thickBot="1">
      <c r="A19" s="21"/>
      <c r="B19" s="18" t="s">
        <v>6</v>
      </c>
      <c r="C19" s="74">
        <f>E9</f>
        <v>500</v>
      </c>
      <c r="D19" s="18" t="s">
        <v>9</v>
      </c>
      <c r="E19" s="74">
        <f>E11</f>
        <v>40</v>
      </c>
      <c r="F19" s="40"/>
      <c r="G19" s="18" t="s">
        <v>6</v>
      </c>
      <c r="H19" s="29"/>
      <c r="I19" s="18" t="s">
        <v>9</v>
      </c>
      <c r="J19" s="74">
        <f>SUM(B3,B8)/(SUM(C19,C15))*E19</f>
        <v>607.54716981132083</v>
      </c>
    </row>
    <row r="20" spans="1:10" ht="18.399999999999999" thickTop="1" thickBot="1">
      <c r="A20" s="21"/>
      <c r="B20" s="22" t="s">
        <v>7</v>
      </c>
      <c r="C20" s="75">
        <f>SUM(E15,E18,E20)-C16</f>
        <v>465</v>
      </c>
      <c r="D20" s="22" t="s">
        <v>10</v>
      </c>
      <c r="E20" s="75">
        <f>E19*E4</f>
        <v>20</v>
      </c>
      <c r="F20" s="40"/>
      <c r="G20" s="22" t="s">
        <v>7</v>
      </c>
      <c r="H20" s="31"/>
      <c r="I20" s="22" t="s">
        <v>10</v>
      </c>
      <c r="J20" s="78">
        <f>SUM(B4:B5,B9:B10)/(SUM(C20,C16))*E20</f>
        <v>854.43037974683546</v>
      </c>
    </row>
    <row r="21" spans="1:10" ht="13.15" thickTop="1">
      <c r="F21" s="40"/>
    </row>
    <row r="22" spans="1:10">
      <c r="F22" s="40"/>
    </row>
    <row r="23" spans="1:10">
      <c r="F23" s="40"/>
      <c r="G23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H23" s="2"/>
      <c r="I23" s="2"/>
      <c r="J23" s="2"/>
    </row>
    <row r="24" spans="1:10" ht="17.649999999999999">
      <c r="B24" s="41" t="s">
        <v>30</v>
      </c>
      <c r="C24" s="41" t="s">
        <v>31</v>
      </c>
      <c r="D24" s="7" t="s">
        <v>37</v>
      </c>
      <c r="F24" s="40"/>
      <c r="G24" s="2"/>
      <c r="H24" s="2"/>
      <c r="I24" s="2"/>
      <c r="J24" s="2"/>
    </row>
    <row r="25" spans="1:10" ht="17.649999999999999">
      <c r="A25" s="7" t="s">
        <v>32</v>
      </c>
      <c r="B25" s="42">
        <v>4200</v>
      </c>
      <c r="C25" s="42">
        <v>2200</v>
      </c>
      <c r="D25" s="45" t="b">
        <f>SUM(B25:C25)=E15</f>
        <v>0</v>
      </c>
      <c r="F25" s="40"/>
      <c r="G25" s="2"/>
      <c r="H25" s="2"/>
      <c r="I25" s="2"/>
      <c r="J25" s="2"/>
    </row>
    <row r="26" spans="1:10" ht="17.649999999999999">
      <c r="A26" s="1" t="s">
        <v>33</v>
      </c>
      <c r="B26" s="42">
        <v>1</v>
      </c>
      <c r="C26" s="43">
        <v>0.6</v>
      </c>
      <c r="D26" s="7"/>
      <c r="F26" s="40"/>
    </row>
    <row r="27" spans="1:10" ht="17.649999999999999">
      <c r="A27" s="44" t="s">
        <v>34</v>
      </c>
      <c r="B27" s="37">
        <f>B25*B26</f>
        <v>4200</v>
      </c>
      <c r="C27" s="37">
        <f>C25*C26</f>
        <v>1320</v>
      </c>
      <c r="F27" s="40"/>
    </row>
    <row r="28" spans="1:10">
      <c r="A28" s="44" t="s">
        <v>35</v>
      </c>
      <c r="B28" s="37">
        <f>$J$15/SUM($B$27:$C$27)*B27</f>
        <v>18946.706160891372</v>
      </c>
      <c r="C28" s="37">
        <f>$J$15/SUM($B$27:$C$27)*C27</f>
        <v>5954.6790791372878</v>
      </c>
      <c r="D28" s="45" t="b">
        <f>SUM(B28:C28)=SUM(J9)</f>
        <v>0</v>
      </c>
      <c r="F28" s="40"/>
    </row>
    <row r="29" spans="1:10" ht="17.649999999999999">
      <c r="A29" s="7" t="s">
        <v>36</v>
      </c>
      <c r="B29" s="46">
        <f>B28/B25</f>
        <v>4.5111205144979456</v>
      </c>
      <c r="C29" s="46">
        <f>C28/C25</f>
        <v>2.7066723086987672</v>
      </c>
      <c r="F29" s="40"/>
    </row>
    <row r="30" spans="1:10">
      <c r="F30" s="40"/>
    </row>
    <row r="31" spans="1:10">
      <c r="A31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B31" s="2"/>
      <c r="C31" s="2"/>
      <c r="D31" s="2"/>
      <c r="F31" s="40"/>
    </row>
    <row r="32" spans="1:10">
      <c r="A32" s="2"/>
      <c r="B32" s="2"/>
      <c r="C32" s="2"/>
      <c r="D32" s="2"/>
      <c r="F32" s="40"/>
    </row>
    <row r="33" spans="1:6">
      <c r="A33" s="2"/>
      <c r="B33" s="2"/>
      <c r="C33" s="2"/>
      <c r="D33" s="2"/>
      <c r="F33" s="40"/>
    </row>
    <row r="34" spans="1:6">
      <c r="F34" s="40"/>
    </row>
  </sheetData>
  <sheetProtection algorithmName="SHA-512" hashValue="XE5rOpmk3BgrdW//WDnHCAAD5PGWj6NlyGgtG+Up9dqL3iHrsQPGlLmXYX/yq9V/ECTQE68isVF3c+yBkvlNoQ==" saltValue="L6MoigrbhB4+6aEbDWzo8w==" spinCount="100000" sheet="1" objects="1" scenarios="1"/>
  <mergeCells count="6">
    <mergeCell ref="F1:F34"/>
    <mergeCell ref="C4:C5"/>
    <mergeCell ref="C9:C10"/>
    <mergeCell ref="H15:H20"/>
    <mergeCell ref="A31:D33"/>
    <mergeCell ref="G23:J25"/>
  </mergeCells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3FE39-B8EF-42EF-BD18-EA5C6DC25D13}">
  <sheetPr codeName="Sheet8"/>
  <dimension ref="A1:L34"/>
  <sheetViews>
    <sheetView zoomScale="85" zoomScaleNormal="85" workbookViewId="0">
      <selection activeCell="H2" sqref="H2 L5:L7 H5:H9 J5:J9 L10 D14 E15 J15 C15:C16 C19:C20 E17:E20 J17:J20 G23:J25 D25 B27:C27 B28:D28 B29:C29 A32:D34"/>
    </sheetView>
  </sheetViews>
  <sheetFormatPr defaultRowHeight="12.75"/>
  <cols>
    <col min="1" max="1" width="12.86328125" style="1" bestFit="1" customWidth="1"/>
    <col min="2" max="2" width="16.9296875" style="1" bestFit="1" customWidth="1"/>
    <col min="3" max="3" width="16.9296875" style="1" customWidth="1"/>
    <col min="4" max="5" width="16.9296875" style="1" bestFit="1" customWidth="1"/>
    <col min="6" max="6" width="16.33203125" style="1" customWidth="1"/>
    <col min="7" max="7" width="27.06640625" style="1" customWidth="1"/>
    <col min="8" max="8" width="17.265625" style="1" customWidth="1"/>
    <col min="9" max="9" width="16.9296875" style="1" bestFit="1" customWidth="1"/>
    <col min="10" max="10" width="20" style="1" customWidth="1"/>
    <col min="11" max="11" width="11.1328125" style="1" bestFit="1" customWidth="1"/>
    <col min="12" max="16384" width="9.06640625" style="1"/>
  </cols>
  <sheetData>
    <row r="1" spans="1:12" ht="17.649999999999999">
      <c r="A1" s="3"/>
      <c r="B1" s="4" t="s">
        <v>22</v>
      </c>
      <c r="C1" s="5"/>
      <c r="D1" s="4" t="s">
        <v>23</v>
      </c>
      <c r="E1" s="7"/>
      <c r="F1" s="39" t="s">
        <v>29</v>
      </c>
      <c r="H1" s="1" t="s">
        <v>16</v>
      </c>
    </row>
    <row r="2" spans="1:12" ht="17.649999999999999">
      <c r="A2" s="1" t="s">
        <v>2</v>
      </c>
      <c r="C2" s="6"/>
      <c r="D2" s="4" t="s">
        <v>24</v>
      </c>
      <c r="F2" s="40"/>
      <c r="H2" s="81" t="b">
        <f>SUM(H5:H6)+SUM(J5:J6)+SUM(L5:L6)=SUM(B3:B10)</f>
        <v>1</v>
      </c>
    </row>
    <row r="3" spans="1:12" ht="17.649999999999999">
      <c r="A3" s="7" t="s">
        <v>0</v>
      </c>
      <c r="B3" s="8">
        <v>7550</v>
      </c>
      <c r="D3" s="1" t="s">
        <v>18</v>
      </c>
      <c r="E3" s="9">
        <v>0.3</v>
      </c>
      <c r="F3" s="40"/>
    </row>
    <row r="4" spans="1:12" ht="12.75" customHeight="1">
      <c r="A4" s="1" t="s">
        <v>1</v>
      </c>
      <c r="B4" s="8">
        <v>19670</v>
      </c>
      <c r="C4" s="10" t="s">
        <v>42</v>
      </c>
      <c r="D4" s="1" t="s">
        <v>19</v>
      </c>
      <c r="E4" s="3">
        <v>0.4</v>
      </c>
      <c r="F4" s="40"/>
      <c r="G4" s="1" t="s">
        <v>12</v>
      </c>
      <c r="I4" s="1" t="s">
        <v>14</v>
      </c>
      <c r="K4" s="1" t="s">
        <v>50</v>
      </c>
    </row>
    <row r="5" spans="1:12" ht="17.649999999999999">
      <c r="A5" s="7" t="s">
        <v>39</v>
      </c>
      <c r="B5" s="8"/>
      <c r="C5" s="10"/>
      <c r="D5" s="1" t="s">
        <v>43</v>
      </c>
      <c r="E5" s="3">
        <v>0.5</v>
      </c>
      <c r="F5" s="40"/>
      <c r="G5" s="7" t="s">
        <v>13</v>
      </c>
      <c r="H5" s="82">
        <f>J19</f>
        <v>607.54716981132083</v>
      </c>
      <c r="I5" s="7" t="s">
        <v>13</v>
      </c>
      <c r="J5" s="82">
        <f>SUM(B3,B8)-J19-J17</f>
        <v>6531.132075471698</v>
      </c>
      <c r="K5" s="7" t="s">
        <v>13</v>
      </c>
      <c r="L5" s="82">
        <f>J17</f>
        <v>911.32075471698113</v>
      </c>
    </row>
    <row r="6" spans="1:12" ht="17.649999999999999">
      <c r="F6" s="40"/>
      <c r="G6" s="7" t="s">
        <v>58</v>
      </c>
      <c r="H6" s="82">
        <f>J20</f>
        <v>674.62184873949582</v>
      </c>
      <c r="I6" s="7" t="s">
        <v>58</v>
      </c>
      <c r="J6" s="82">
        <f>SUM(B4,B5,B9)-J20-J18</f>
        <v>18130.462184873952</v>
      </c>
      <c r="K6" s="7" t="s">
        <v>58</v>
      </c>
      <c r="L6" s="82">
        <f>J18</f>
        <v>1264.9159663865546</v>
      </c>
    </row>
    <row r="7" spans="1:12" ht="17.649999999999999">
      <c r="A7" s="7" t="s">
        <v>3</v>
      </c>
      <c r="C7" s="7"/>
      <c r="F7" s="40"/>
      <c r="G7" s="7" t="s">
        <v>17</v>
      </c>
      <c r="H7" s="82">
        <f>SUM(H5:H6)</f>
        <v>1282.1690185508166</v>
      </c>
      <c r="I7" s="7" t="s">
        <v>17</v>
      </c>
      <c r="J7" s="82">
        <f>SUM(J5:J6)</f>
        <v>24661.59426034565</v>
      </c>
      <c r="K7" s="7" t="s">
        <v>17</v>
      </c>
      <c r="L7" s="82">
        <f>SUM(L5:L6)</f>
        <v>2176.2367211035357</v>
      </c>
    </row>
    <row r="8" spans="1:12" ht="17.649999999999999">
      <c r="A8" s="7" t="s">
        <v>0</v>
      </c>
      <c r="B8" s="8">
        <v>500</v>
      </c>
      <c r="D8" s="1" t="s">
        <v>20</v>
      </c>
      <c r="E8" s="3">
        <v>30</v>
      </c>
      <c r="F8" s="40"/>
      <c r="G8" s="7" t="s">
        <v>51</v>
      </c>
      <c r="H8" s="83">
        <f>IF(B12="期末負担要",L10/SUM(E15+E20)*E20,0)</f>
        <v>75.91880613824344</v>
      </c>
      <c r="I8" s="7" t="s">
        <v>51</v>
      </c>
      <c r="J8" s="83">
        <f>IF(B12="期末負担要",L10/SUM(E15+E20)*(E15),SUM(L10))</f>
        <v>2040.3179149652924</v>
      </c>
      <c r="K8" s="7" t="s">
        <v>55</v>
      </c>
      <c r="L8" s="20">
        <v>-60</v>
      </c>
    </row>
    <row r="9" spans="1:12" ht="17.649999999999999">
      <c r="A9" s="1" t="s">
        <v>1</v>
      </c>
      <c r="B9" s="8">
        <v>400</v>
      </c>
      <c r="C9" s="10" t="s">
        <v>42</v>
      </c>
      <c r="D9" s="1" t="s">
        <v>6</v>
      </c>
      <c r="E9" s="3">
        <v>500</v>
      </c>
      <c r="F9" s="40"/>
      <c r="G9" s="7" t="s">
        <v>53</v>
      </c>
      <c r="H9" s="82">
        <f>SUM(H7:H8)</f>
        <v>1358.0878246890602</v>
      </c>
      <c r="I9" s="7" t="s">
        <v>53</v>
      </c>
      <c r="J9" s="82">
        <f>SUM(J7:J8)</f>
        <v>26701.912175310943</v>
      </c>
      <c r="K9" s="7" t="s">
        <v>55</v>
      </c>
      <c r="L9" s="6"/>
    </row>
    <row r="10" spans="1:12" ht="17.649999999999999">
      <c r="A10" s="7" t="s">
        <v>39</v>
      </c>
      <c r="B10" s="8"/>
      <c r="C10" s="10"/>
      <c r="D10" s="1" t="s">
        <v>44</v>
      </c>
      <c r="E10" s="3">
        <v>60</v>
      </c>
      <c r="F10" s="40"/>
      <c r="G10" s="7"/>
      <c r="I10" s="7"/>
      <c r="K10" s="66" t="s">
        <v>50</v>
      </c>
      <c r="L10" s="82">
        <f>SUM(L7:L9)</f>
        <v>2116.2367211035357</v>
      </c>
    </row>
    <row r="11" spans="1:12" ht="17.649999999999999">
      <c r="D11" s="1" t="s">
        <v>21</v>
      </c>
      <c r="E11" s="3">
        <v>40</v>
      </c>
      <c r="F11" s="40"/>
      <c r="G11" s="7"/>
      <c r="H11" s="20"/>
      <c r="I11" s="7"/>
      <c r="J11" s="20"/>
    </row>
    <row r="12" spans="1:12" ht="17.649999999999999">
      <c r="A12" s="7" t="s">
        <v>45</v>
      </c>
      <c r="B12" s="79" t="s">
        <v>56</v>
      </c>
      <c r="C12" s="80"/>
      <c r="F12" s="40"/>
    </row>
    <row r="13" spans="1:12">
      <c r="A13" s="40" t="s">
        <v>57</v>
      </c>
      <c r="B13" s="40"/>
      <c r="F13" s="40"/>
    </row>
    <row r="14" spans="1:12" ht="13.15" thickBot="1">
      <c r="A14" s="40"/>
      <c r="B14" s="40"/>
      <c r="C14" s="15" t="s">
        <v>11</v>
      </c>
      <c r="D14" s="81" t="b">
        <f>SUM(C15:C20)-E15=SUM(E15:E20)</f>
        <v>1</v>
      </c>
      <c r="E14" s="15"/>
      <c r="F14" s="40"/>
      <c r="G14" s="15"/>
      <c r="H14" s="15" t="s">
        <v>11</v>
      </c>
      <c r="I14" s="15"/>
      <c r="J14" s="15"/>
    </row>
    <row r="15" spans="1:12" ht="18.399999999999999" thickTop="1" thickBot="1">
      <c r="B15" s="18" t="s">
        <v>4</v>
      </c>
      <c r="C15" s="85">
        <f>E8</f>
        <v>30</v>
      </c>
      <c r="D15" s="19" t="s">
        <v>8</v>
      </c>
      <c r="E15" s="84">
        <f>SUM(C15,C19)-E17-E19</f>
        <v>430</v>
      </c>
      <c r="F15" s="40"/>
      <c r="G15" s="18" t="s">
        <v>4</v>
      </c>
      <c r="H15" s="27" t="s">
        <v>15</v>
      </c>
      <c r="I15" s="19" t="s">
        <v>8</v>
      </c>
      <c r="J15" s="84">
        <f>SUM(B3:B10)-SUM(J19:J20)-SUM(J17:J18)</f>
        <v>24661.59426034565</v>
      </c>
    </row>
    <row r="16" spans="1:12" ht="18.399999999999999" thickTop="1" thickBot="1">
      <c r="A16" s="21"/>
      <c r="B16" s="22" t="s">
        <v>5</v>
      </c>
      <c r="C16" s="86">
        <f>C15*E3</f>
        <v>9</v>
      </c>
      <c r="D16" s="48"/>
      <c r="E16" s="49"/>
      <c r="F16" s="40"/>
      <c r="G16" s="22" t="s">
        <v>5</v>
      </c>
      <c r="H16" s="29"/>
      <c r="I16" s="48"/>
      <c r="J16" s="49"/>
    </row>
    <row r="17" spans="1:10" ht="13.15" thickTop="1">
      <c r="A17" s="21"/>
      <c r="C17" s="21"/>
      <c r="D17" s="50" t="s">
        <v>44</v>
      </c>
      <c r="E17" s="87">
        <f>E10</f>
        <v>60</v>
      </c>
      <c r="F17" s="40"/>
      <c r="H17" s="29"/>
      <c r="I17" s="50" t="s">
        <v>44</v>
      </c>
      <c r="J17" s="87">
        <f>SUM(B3,B8)/(SUM(C19,C15))*E17</f>
        <v>911.32075471698113</v>
      </c>
    </row>
    <row r="18" spans="1:10" ht="13.15" thickBot="1">
      <c r="A18" s="21"/>
      <c r="C18" s="21"/>
      <c r="D18" s="51" t="s">
        <v>49</v>
      </c>
      <c r="E18" s="86">
        <f>E17*E5</f>
        <v>30</v>
      </c>
      <c r="F18" s="40"/>
      <c r="H18" s="29"/>
      <c r="I18" s="51" t="s">
        <v>49</v>
      </c>
      <c r="J18" s="88">
        <f>SUM(B4:B5,B9:B10)/(SUM(C20,C16))*E18</f>
        <v>1264.9159663865546</v>
      </c>
    </row>
    <row r="19" spans="1:10" ht="18.399999999999999" thickTop="1" thickBot="1">
      <c r="A19" s="21"/>
      <c r="B19" s="18" t="s">
        <v>6</v>
      </c>
      <c r="C19" s="85">
        <f>E9</f>
        <v>500</v>
      </c>
      <c r="D19" s="18" t="s">
        <v>9</v>
      </c>
      <c r="E19" s="85">
        <f>E11</f>
        <v>40</v>
      </c>
      <c r="F19" s="40"/>
      <c r="G19" s="18" t="s">
        <v>6</v>
      </c>
      <c r="H19" s="29"/>
      <c r="I19" s="18" t="s">
        <v>9</v>
      </c>
      <c r="J19" s="85">
        <f>SUM(B3,B8)/(SUM(C19,C15))*E19</f>
        <v>607.54716981132083</v>
      </c>
    </row>
    <row r="20" spans="1:10" ht="18.399999999999999" thickTop="1" thickBot="1">
      <c r="A20" s="21"/>
      <c r="B20" s="22" t="s">
        <v>7</v>
      </c>
      <c r="C20" s="86">
        <f>SUM(E15,E18,E20)-C16</f>
        <v>467</v>
      </c>
      <c r="D20" s="22" t="s">
        <v>10</v>
      </c>
      <c r="E20" s="86">
        <f>E19*E4</f>
        <v>16</v>
      </c>
      <c r="F20" s="40"/>
      <c r="G20" s="22" t="s">
        <v>7</v>
      </c>
      <c r="H20" s="31"/>
      <c r="I20" s="22" t="s">
        <v>10</v>
      </c>
      <c r="J20" s="89">
        <f>SUM(B4:B5,B9:B10)/(SUM(C20,C16))*E20</f>
        <v>674.62184873949582</v>
      </c>
    </row>
    <row r="21" spans="1:10" ht="13.15" thickTop="1">
      <c r="F21" s="40"/>
    </row>
    <row r="22" spans="1:10">
      <c r="F22" s="40"/>
    </row>
    <row r="23" spans="1:10">
      <c r="F23" s="40"/>
      <c r="G23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H23" s="2"/>
      <c r="I23" s="2"/>
      <c r="J23" s="2"/>
    </row>
    <row r="24" spans="1:10" ht="17.649999999999999">
      <c r="B24" s="41" t="s">
        <v>30</v>
      </c>
      <c r="C24" s="41" t="s">
        <v>31</v>
      </c>
      <c r="D24" s="7" t="s">
        <v>37</v>
      </c>
      <c r="F24" s="40"/>
      <c r="G24" s="2"/>
      <c r="H24" s="2"/>
      <c r="I24" s="2"/>
      <c r="J24" s="2"/>
    </row>
    <row r="25" spans="1:10" ht="17.649999999999999">
      <c r="A25" s="7" t="s">
        <v>32</v>
      </c>
      <c r="B25" s="42">
        <v>4200</v>
      </c>
      <c r="C25" s="42">
        <v>2200</v>
      </c>
      <c r="D25" s="45" t="b">
        <f>SUM(B25:C25)=E15</f>
        <v>0</v>
      </c>
      <c r="F25" s="40"/>
      <c r="G25" s="2"/>
      <c r="H25" s="2"/>
      <c r="I25" s="2"/>
      <c r="J25" s="2"/>
    </row>
    <row r="26" spans="1:10" ht="17.649999999999999">
      <c r="A26" s="1" t="s">
        <v>33</v>
      </c>
      <c r="B26" s="42">
        <v>1</v>
      </c>
      <c r="C26" s="43">
        <v>0.6</v>
      </c>
      <c r="D26" s="7"/>
      <c r="F26" s="40"/>
    </row>
    <row r="27" spans="1:10" ht="17.649999999999999">
      <c r="A27" s="44" t="s">
        <v>34</v>
      </c>
      <c r="B27" s="37">
        <f>B25*B26</f>
        <v>4200</v>
      </c>
      <c r="C27" s="37">
        <f>C25*C26</f>
        <v>1320</v>
      </c>
      <c r="F27" s="40"/>
    </row>
    <row r="28" spans="1:10">
      <c r="A28" s="44" t="s">
        <v>35</v>
      </c>
      <c r="B28" s="37">
        <f>$J$15/SUM($B$27:$C$27)*B27</f>
        <v>18764.256502436907</v>
      </c>
      <c r="C28" s="37">
        <f>$J$15/SUM($B$27:$C$27)*C27</f>
        <v>5897.3377579087428</v>
      </c>
      <c r="D28" s="45" t="b">
        <f>SUM(B28:C28)=SUM(J9)</f>
        <v>0</v>
      </c>
      <c r="F28" s="40"/>
    </row>
    <row r="29" spans="1:10" ht="17.649999999999999">
      <c r="A29" s="7" t="s">
        <v>36</v>
      </c>
      <c r="B29" s="46">
        <f>B28/B25</f>
        <v>4.4676801196278353</v>
      </c>
      <c r="C29" s="46">
        <f>C28/C25</f>
        <v>2.6806080717767014</v>
      </c>
      <c r="F29" s="40"/>
    </row>
    <row r="30" spans="1:10">
      <c r="F30" s="40"/>
    </row>
    <row r="31" spans="1:10">
      <c r="F31" s="40"/>
    </row>
    <row r="32" spans="1:10">
      <c r="A32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B32" s="2"/>
      <c r="C32" s="2"/>
      <c r="D32" s="2"/>
      <c r="F32" s="40"/>
    </row>
    <row r="33" spans="1:6">
      <c r="A33" s="2"/>
      <c r="B33" s="2"/>
      <c r="C33" s="2"/>
      <c r="D33" s="2"/>
      <c r="F33" s="40"/>
    </row>
    <row r="34" spans="1:6">
      <c r="A34" s="2"/>
      <c r="B34" s="2"/>
      <c r="C34" s="2"/>
      <c r="D34" s="2"/>
      <c r="F34" s="40"/>
    </row>
  </sheetData>
  <sheetProtection algorithmName="SHA-512" hashValue="Iuf8aGndz6gpoheUeUAaxMjGnrtd7MnzEkiEevwSWgBw+kr7dVRhoKbHftTBmlIihuJ85OsxxIsAjXwB9C8T9A==" saltValue="cqk9U9rp4Bd8EIRwhy0+JQ==" spinCount="100000" sheet="1" objects="1" scenarios="1"/>
  <mergeCells count="7">
    <mergeCell ref="F1:F34"/>
    <mergeCell ref="C4:C5"/>
    <mergeCell ref="C9:C10"/>
    <mergeCell ref="A13:B14"/>
    <mergeCell ref="H15:H20"/>
    <mergeCell ref="A32:D34"/>
    <mergeCell ref="G23:J25"/>
  </mergeCells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BD514-DCF1-4796-A37E-1F38C6F109CF}">
  <sheetPr codeName="Sheet6"/>
  <dimension ref="A1:J34"/>
  <sheetViews>
    <sheetView workbookViewId="0">
      <selection activeCell="I4" sqref="I4 H5:H7 H10:H12 D14 E15 J15 C15:C16 C19:C20 E19:E20 J19:J20 G22:J24 D25 B27:C27 B28:D28 B29:C29 A31:D33"/>
    </sheetView>
  </sheetViews>
  <sheetFormatPr defaultRowHeight="12.75"/>
  <cols>
    <col min="1" max="1" width="21.33203125" style="1" customWidth="1"/>
    <col min="2" max="2" width="16.9296875" style="1" bestFit="1" customWidth="1"/>
    <col min="3" max="3" width="16.9296875" style="1" customWidth="1"/>
    <col min="4" max="5" width="16.9296875" style="1" bestFit="1" customWidth="1"/>
    <col min="6" max="6" width="16.33203125" style="1" customWidth="1"/>
    <col min="7" max="7" width="27.06640625" style="1" customWidth="1"/>
    <col min="8" max="8" width="17.265625" style="1" customWidth="1"/>
    <col min="9" max="9" width="16.9296875" style="1" bestFit="1" customWidth="1"/>
    <col min="10" max="10" width="20" style="1" customWidth="1"/>
    <col min="11" max="16384" width="9.06640625" style="1"/>
  </cols>
  <sheetData>
    <row r="1" spans="1:10" ht="17.649999999999999">
      <c r="B1" s="80" t="s">
        <v>38</v>
      </c>
      <c r="F1" s="39" t="s">
        <v>29</v>
      </c>
    </row>
    <row r="2" spans="1:10">
      <c r="A2" s="1" t="s">
        <v>2</v>
      </c>
      <c r="F2" s="40"/>
    </row>
    <row r="3" spans="1:10" ht="17.649999999999999">
      <c r="A3" s="7" t="s">
        <v>0</v>
      </c>
      <c r="B3" s="8">
        <v>2088000</v>
      </c>
      <c r="D3" s="1" t="s">
        <v>18</v>
      </c>
      <c r="E3" s="9">
        <v>0.4</v>
      </c>
      <c r="F3" s="40"/>
      <c r="I3" s="1" t="s">
        <v>16</v>
      </c>
    </row>
    <row r="4" spans="1:10" ht="12.75" customHeight="1">
      <c r="A4" s="1" t="s">
        <v>1</v>
      </c>
      <c r="B4" s="8">
        <v>2170800</v>
      </c>
      <c r="C4" s="10" t="s">
        <v>40</v>
      </c>
      <c r="D4" s="1" t="s">
        <v>19</v>
      </c>
      <c r="E4" s="3">
        <v>0.7</v>
      </c>
      <c r="F4" s="40"/>
      <c r="G4" s="1" t="s">
        <v>12</v>
      </c>
      <c r="I4" s="32" t="b">
        <f>SUM(H5:H6)+SUM(H10:H11)=SUM(B3:B10)</f>
        <v>1</v>
      </c>
    </row>
    <row r="5" spans="1:10" ht="17.649999999999999">
      <c r="A5" s="7" t="s">
        <v>39</v>
      </c>
      <c r="B5" s="8"/>
      <c r="C5" s="10"/>
      <c r="F5" s="40"/>
      <c r="G5" s="7" t="s">
        <v>13</v>
      </c>
      <c r="H5" s="54">
        <f>J19</f>
        <v>648000</v>
      </c>
    </row>
    <row r="6" spans="1:10" ht="17.649999999999999">
      <c r="B6" s="3"/>
      <c r="F6" s="40"/>
      <c r="G6" s="7" t="s">
        <v>58</v>
      </c>
      <c r="H6" s="54">
        <f>J20</f>
        <v>408240</v>
      </c>
    </row>
    <row r="7" spans="1:10" ht="17.649999999999999">
      <c r="A7" s="7" t="s">
        <v>3</v>
      </c>
      <c r="B7" s="3"/>
      <c r="C7" s="7"/>
      <c r="F7" s="40"/>
      <c r="G7" s="7" t="s">
        <v>17</v>
      </c>
      <c r="H7" s="54">
        <f>SUM(H5:H6)</f>
        <v>1056240</v>
      </c>
    </row>
    <row r="8" spans="1:10" ht="17.649999999999999">
      <c r="A8" s="7" t="s">
        <v>0</v>
      </c>
      <c r="B8" s="8">
        <v>643200</v>
      </c>
      <c r="C8" s="10" t="s">
        <v>40</v>
      </c>
      <c r="D8" s="1" t="s">
        <v>20</v>
      </c>
      <c r="E8" s="3">
        <v>2400</v>
      </c>
      <c r="F8" s="40"/>
    </row>
    <row r="9" spans="1:10">
      <c r="A9" s="1" t="s">
        <v>1</v>
      </c>
      <c r="B9" s="8">
        <v>680640</v>
      </c>
      <c r="C9" s="10"/>
      <c r="D9" s="1" t="s">
        <v>6</v>
      </c>
      <c r="E9" s="3">
        <v>5800</v>
      </c>
      <c r="F9" s="40"/>
      <c r="G9" s="1" t="s">
        <v>14</v>
      </c>
    </row>
    <row r="10" spans="1:10" ht="17.649999999999999">
      <c r="A10" s="7" t="s">
        <v>39</v>
      </c>
      <c r="B10" s="8"/>
      <c r="C10" s="7"/>
      <c r="F10" s="40"/>
      <c r="G10" s="7" t="s">
        <v>13</v>
      </c>
      <c r="H10" s="54">
        <f>SUM(B3,B8)-J19</f>
        <v>2083200</v>
      </c>
    </row>
    <row r="11" spans="1:10" ht="17.649999999999999">
      <c r="D11" s="1" t="s">
        <v>21</v>
      </c>
      <c r="E11" s="3">
        <v>1800</v>
      </c>
      <c r="F11" s="40"/>
      <c r="G11" s="7" t="s">
        <v>58</v>
      </c>
      <c r="H11" s="54">
        <f>SUM(B4,B5,B9)-J20</f>
        <v>2443200</v>
      </c>
    </row>
    <row r="12" spans="1:10" ht="17.649999999999999">
      <c r="C12" s="7"/>
      <c r="F12" s="40"/>
      <c r="G12" s="7" t="s">
        <v>17</v>
      </c>
      <c r="H12" s="54">
        <f>SUM(H10:H11)</f>
        <v>4526400</v>
      </c>
    </row>
    <row r="13" spans="1:10">
      <c r="F13" s="40"/>
    </row>
    <row r="14" spans="1:10" ht="13.15" thickBot="1">
      <c r="B14" s="15"/>
      <c r="C14" s="15" t="s">
        <v>11</v>
      </c>
      <c r="D14" s="32" t="b">
        <f>SUM(C15:C20)-E15=SUM(E15:E20)</f>
        <v>1</v>
      </c>
      <c r="E14" s="15"/>
      <c r="F14" s="40"/>
      <c r="G14" s="15"/>
      <c r="H14" s="15" t="s">
        <v>11</v>
      </c>
      <c r="I14" s="15"/>
      <c r="J14" s="15"/>
    </row>
    <row r="15" spans="1:10" ht="18.399999999999999" thickTop="1" thickBot="1">
      <c r="B15" s="18" t="s">
        <v>4</v>
      </c>
      <c r="C15" s="60">
        <f>E8</f>
        <v>2400</v>
      </c>
      <c r="D15" s="19" t="s">
        <v>8</v>
      </c>
      <c r="E15" s="58">
        <f>SUM(C15,C19)-E17-E19</f>
        <v>6400</v>
      </c>
      <c r="F15" s="40"/>
      <c r="G15" s="18" t="s">
        <v>4</v>
      </c>
      <c r="H15" s="27" t="s">
        <v>15</v>
      </c>
      <c r="I15" s="28" t="s">
        <v>8</v>
      </c>
      <c r="J15" s="58">
        <f>SUM(B3:B10)-SUM(J19:J20)</f>
        <v>4526400</v>
      </c>
    </row>
    <row r="16" spans="1:10" ht="18.399999999999999" thickTop="1" thickBot="1">
      <c r="A16" s="21"/>
      <c r="B16" s="22" t="s">
        <v>5</v>
      </c>
      <c r="C16" s="61">
        <f>C15*E3</f>
        <v>960</v>
      </c>
      <c r="D16" s="23"/>
      <c r="E16" s="24"/>
      <c r="F16" s="40"/>
      <c r="G16" s="22" t="s">
        <v>5</v>
      </c>
      <c r="H16" s="29"/>
      <c r="J16" s="24"/>
    </row>
    <row r="17" spans="1:10" ht="13.15" thickTop="1">
      <c r="A17" s="21"/>
      <c r="E17" s="21"/>
      <c r="F17" s="40"/>
      <c r="H17" s="29"/>
      <c r="J17" s="21"/>
    </row>
    <row r="18" spans="1:10" ht="13.15" thickBot="1">
      <c r="A18" s="21"/>
      <c r="D18" s="15"/>
      <c r="E18" s="25"/>
      <c r="F18" s="40"/>
      <c r="H18" s="29"/>
      <c r="J18" s="30"/>
    </row>
    <row r="19" spans="1:10" ht="18" thickTop="1">
      <c r="A19" s="21"/>
      <c r="B19" s="18" t="s">
        <v>6</v>
      </c>
      <c r="C19" s="60">
        <f>E9</f>
        <v>5800</v>
      </c>
      <c r="D19" s="26" t="s">
        <v>9</v>
      </c>
      <c r="E19" s="91">
        <f>E11</f>
        <v>1800</v>
      </c>
      <c r="F19" s="40"/>
      <c r="G19" s="18" t="s">
        <v>6</v>
      </c>
      <c r="H19" s="29"/>
      <c r="I19" s="18" t="s">
        <v>9</v>
      </c>
      <c r="J19" s="60">
        <f>B3/C19*E19</f>
        <v>648000</v>
      </c>
    </row>
    <row r="20" spans="1:10" ht="18" thickBot="1">
      <c r="A20" s="21"/>
      <c r="B20" s="22" t="s">
        <v>7</v>
      </c>
      <c r="C20" s="61">
        <f>SUM(E15,E18,E20)-C16</f>
        <v>6700</v>
      </c>
      <c r="D20" s="22" t="s">
        <v>10</v>
      </c>
      <c r="E20" s="61">
        <f>E19*E4</f>
        <v>1260</v>
      </c>
      <c r="F20" s="40"/>
      <c r="G20" s="22" t="s">
        <v>7</v>
      </c>
      <c r="H20" s="31"/>
      <c r="I20" s="22" t="s">
        <v>10</v>
      </c>
      <c r="J20" s="61">
        <f>SUM(B4,B5)/C20*E20</f>
        <v>408240</v>
      </c>
    </row>
    <row r="21" spans="1:10" ht="13.15" thickTop="1">
      <c r="F21" s="40"/>
    </row>
    <row r="22" spans="1:10">
      <c r="F22" s="40"/>
      <c r="G22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H22" s="2"/>
      <c r="I22" s="2"/>
      <c r="J22" s="2"/>
    </row>
    <row r="23" spans="1:10">
      <c r="F23" s="40"/>
      <c r="G23" s="2"/>
      <c r="H23" s="2"/>
      <c r="I23" s="2"/>
      <c r="J23" s="2"/>
    </row>
    <row r="24" spans="1:10" ht="17.649999999999999">
      <c r="B24" s="41" t="s">
        <v>30</v>
      </c>
      <c r="C24" s="41" t="s">
        <v>31</v>
      </c>
      <c r="D24" s="7" t="s">
        <v>37</v>
      </c>
      <c r="F24" s="40"/>
      <c r="G24" s="2"/>
      <c r="H24" s="2"/>
      <c r="I24" s="2"/>
      <c r="J24" s="2"/>
    </row>
    <row r="25" spans="1:10" ht="17.649999999999999">
      <c r="A25" s="7" t="s">
        <v>32</v>
      </c>
      <c r="B25" s="42">
        <v>4200</v>
      </c>
      <c r="C25" s="42">
        <v>2200</v>
      </c>
      <c r="D25" s="45" t="b">
        <f>SUM(B25:C25)=E15</f>
        <v>1</v>
      </c>
      <c r="F25" s="40"/>
    </row>
    <row r="26" spans="1:10" ht="17.649999999999999">
      <c r="A26" s="1" t="s">
        <v>33</v>
      </c>
      <c r="B26" s="42">
        <v>1</v>
      </c>
      <c r="C26" s="90">
        <v>0.6</v>
      </c>
      <c r="D26" s="7"/>
      <c r="F26" s="40"/>
    </row>
    <row r="27" spans="1:10" ht="17.649999999999999">
      <c r="A27" s="44" t="s">
        <v>34</v>
      </c>
      <c r="B27" s="37">
        <f>B25*B26</f>
        <v>4200</v>
      </c>
      <c r="C27" s="37">
        <f>C25*C26</f>
        <v>1320</v>
      </c>
      <c r="F27" s="40"/>
    </row>
    <row r="28" spans="1:10">
      <c r="A28" s="44" t="s">
        <v>35</v>
      </c>
      <c r="B28" s="37">
        <f>$J$15/SUM($B$27:$C$27)*B27</f>
        <v>3444000</v>
      </c>
      <c r="C28" s="37">
        <f>$J$15/SUM($B$27:$C$27)*C27</f>
        <v>1082400</v>
      </c>
      <c r="D28" s="45" t="b">
        <f>SUM(B28:C28)=SUM(H12)</f>
        <v>1</v>
      </c>
      <c r="F28" s="40"/>
    </row>
    <row r="29" spans="1:10" ht="17.649999999999999">
      <c r="A29" s="7" t="s">
        <v>36</v>
      </c>
      <c r="B29" s="46">
        <f>B28/B25</f>
        <v>820</v>
      </c>
      <c r="C29" s="46">
        <f>C28/C25</f>
        <v>492</v>
      </c>
      <c r="F29" s="40"/>
    </row>
    <row r="30" spans="1:10">
      <c r="F30" s="40"/>
    </row>
    <row r="31" spans="1:10">
      <c r="A31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B31" s="2"/>
      <c r="C31" s="2"/>
      <c r="D31" s="2"/>
      <c r="F31" s="40"/>
    </row>
    <row r="32" spans="1:10">
      <c r="A32" s="2"/>
      <c r="B32" s="2"/>
      <c r="C32" s="2"/>
      <c r="D32" s="2"/>
      <c r="F32" s="40"/>
    </row>
    <row r="33" spans="1:6">
      <c r="A33" s="2"/>
      <c r="B33" s="2"/>
      <c r="C33" s="2"/>
      <c r="D33" s="2"/>
      <c r="F33" s="40"/>
    </row>
    <row r="34" spans="1:6">
      <c r="F34" s="40"/>
    </row>
  </sheetData>
  <sheetProtection algorithmName="SHA-512" hashValue="PscvtuJ1q3a93sxJ8Rs9qvZ/wMC7aZNg67REKCt7wtfBfzZEJaHe1mED/OwBsO94kZU45qFEfNRwT6NX1zoD8A==" saltValue="jIVJGl2yYHLbaP2vI4Pbsg==" spinCount="100000" sheet="1" objects="1" scenarios="1"/>
  <mergeCells count="6">
    <mergeCell ref="F1:F34"/>
    <mergeCell ref="C4:C5"/>
    <mergeCell ref="H15:H20"/>
    <mergeCell ref="C8:C9"/>
    <mergeCell ref="A31:D33"/>
    <mergeCell ref="G22:J24"/>
  </mergeCells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B0618-63D0-4704-ADDA-1E0FDC6CBC2E}">
  <sheetPr codeName="Sheet9"/>
  <dimension ref="A1:K34"/>
  <sheetViews>
    <sheetView workbookViewId="0">
      <selection activeCell="I2" sqref="I2 H3:H5 H9:H11 B12:B14 D14 E15 J15 C15:C16 C19:C20 E17:E20 J19:J20 G23:J25 D25 B27:C27 B28:D28 B29:C29 A31:D33"/>
    </sheetView>
  </sheetViews>
  <sheetFormatPr defaultRowHeight="12.75"/>
  <cols>
    <col min="1" max="1" width="18.3984375" style="1" customWidth="1"/>
    <col min="2" max="2" width="20.33203125" style="1" customWidth="1"/>
    <col min="3" max="3" width="16.9296875" style="1" customWidth="1"/>
    <col min="4" max="5" width="16.9296875" style="1" bestFit="1" customWidth="1"/>
    <col min="6" max="6" width="16.33203125" style="1" customWidth="1"/>
    <col min="7" max="7" width="27.06640625" style="1" customWidth="1"/>
    <col min="8" max="8" width="17.265625" style="1" customWidth="1"/>
    <col min="9" max="9" width="16.9296875" style="1" bestFit="1" customWidth="1"/>
    <col min="10" max="10" width="20" style="1" customWidth="1"/>
    <col min="11" max="16384" width="9.06640625" style="1"/>
  </cols>
  <sheetData>
    <row r="1" spans="1:11" ht="17.649999999999999">
      <c r="A1" s="3"/>
      <c r="B1" s="4" t="s">
        <v>22</v>
      </c>
      <c r="C1" s="5"/>
      <c r="D1" s="4" t="s">
        <v>23</v>
      </c>
      <c r="F1" s="39" t="s">
        <v>29</v>
      </c>
      <c r="I1" s="1" t="s">
        <v>16</v>
      </c>
    </row>
    <row r="2" spans="1:11" ht="17.649999999999999">
      <c r="A2" s="1" t="s">
        <v>2</v>
      </c>
      <c r="C2" s="6"/>
      <c r="D2" s="4" t="s">
        <v>24</v>
      </c>
      <c r="F2" s="40"/>
      <c r="G2" s="1" t="s">
        <v>12</v>
      </c>
      <c r="I2" s="32" t="b">
        <f>SUM(H3:H4)+SUM(H9:H10)+SUM(K4:K5)=SUM(B3:B10)</f>
        <v>1</v>
      </c>
    </row>
    <row r="3" spans="1:11" ht="17.649999999999999">
      <c r="A3" s="7" t="s">
        <v>0</v>
      </c>
      <c r="B3" s="8">
        <v>2088000</v>
      </c>
      <c r="D3" s="1" t="s">
        <v>18</v>
      </c>
      <c r="E3" s="9">
        <v>0.4</v>
      </c>
      <c r="F3" s="40"/>
      <c r="G3" s="7" t="s">
        <v>13</v>
      </c>
      <c r="H3" s="82">
        <f>J19</f>
        <v>164842.10526315789</v>
      </c>
      <c r="J3" s="7" t="s">
        <v>41</v>
      </c>
    </row>
    <row r="4" spans="1:11" ht="17.649999999999999">
      <c r="A4" s="1" t="s">
        <v>1</v>
      </c>
      <c r="B4" s="8">
        <v>2170800</v>
      </c>
      <c r="C4" s="10" t="s">
        <v>42</v>
      </c>
      <c r="D4" s="1" t="s">
        <v>19</v>
      </c>
      <c r="E4" s="3">
        <v>0.7</v>
      </c>
      <c r="F4" s="40"/>
      <c r="G4" s="7" t="s">
        <v>58</v>
      </c>
      <c r="H4" s="82">
        <f>J20</f>
        <v>118100.51813471504</v>
      </c>
      <c r="J4" s="7" t="s">
        <v>13</v>
      </c>
      <c r="K4" s="65"/>
    </row>
    <row r="5" spans="1:11" ht="17.649999999999999">
      <c r="A5" s="7" t="s">
        <v>39</v>
      </c>
      <c r="B5" s="8"/>
      <c r="C5" s="10"/>
      <c r="D5" s="1" t="s">
        <v>43</v>
      </c>
      <c r="E5" s="3">
        <v>0.5</v>
      </c>
      <c r="F5" s="40"/>
      <c r="G5" s="7" t="s">
        <v>17</v>
      </c>
      <c r="H5" s="82">
        <f>SUM(H3:H4)</f>
        <v>282942.6233978729</v>
      </c>
      <c r="J5" s="7" t="s">
        <v>58</v>
      </c>
      <c r="K5" s="65"/>
    </row>
    <row r="6" spans="1:11">
      <c r="F6" s="40"/>
      <c r="H6" s="5"/>
    </row>
    <row r="7" spans="1:11" ht="17.649999999999999">
      <c r="A7" s="7" t="s">
        <v>3</v>
      </c>
      <c r="C7" s="7"/>
      <c r="F7" s="40"/>
    </row>
    <row r="8" spans="1:11" ht="17.649999999999999">
      <c r="A8" s="7" t="s">
        <v>0</v>
      </c>
      <c r="B8" s="8">
        <v>643200</v>
      </c>
      <c r="D8" s="1" t="s">
        <v>20</v>
      </c>
      <c r="E8" s="3">
        <v>50</v>
      </c>
      <c r="F8" s="40"/>
      <c r="G8" s="1" t="s">
        <v>14</v>
      </c>
      <c r="H8" s="5"/>
    </row>
    <row r="9" spans="1:11" ht="17.649999999999999">
      <c r="A9" s="1" t="s">
        <v>1</v>
      </c>
      <c r="B9" s="8">
        <v>680640</v>
      </c>
      <c r="C9" s="10" t="s">
        <v>42</v>
      </c>
      <c r="D9" s="1" t="s">
        <v>6</v>
      </c>
      <c r="E9" s="3">
        <v>800</v>
      </c>
      <c r="F9" s="40"/>
      <c r="G9" s="7" t="s">
        <v>13</v>
      </c>
      <c r="H9" s="82">
        <f>SUM(B3,B8)-J19-K4</f>
        <v>2566357.8947368423</v>
      </c>
    </row>
    <row r="10" spans="1:11" ht="17.649999999999999">
      <c r="A10" s="7" t="s">
        <v>39</v>
      </c>
      <c r="B10" s="8"/>
      <c r="C10" s="10"/>
      <c r="D10" s="1" t="s">
        <v>44</v>
      </c>
      <c r="E10" s="3">
        <v>40</v>
      </c>
      <c r="F10" s="40"/>
      <c r="G10" s="7" t="s">
        <v>58</v>
      </c>
      <c r="H10" s="82">
        <f>SUM(B4,B5,B9)-J20-K5</f>
        <v>2733339.481865285</v>
      </c>
    </row>
    <row r="11" spans="1:11" ht="17.649999999999999">
      <c r="A11" s="7"/>
      <c r="B11" s="7"/>
      <c r="D11" s="1" t="s">
        <v>21</v>
      </c>
      <c r="E11" s="3">
        <v>60</v>
      </c>
      <c r="F11" s="40"/>
      <c r="G11" s="7" t="s">
        <v>17</v>
      </c>
      <c r="H11" s="82">
        <f>SUM(H9:H10)</f>
        <v>5299697.3766021272</v>
      </c>
    </row>
    <row r="12" spans="1:11" ht="17.649999999999999">
      <c r="A12" s="7" t="s">
        <v>45</v>
      </c>
      <c r="B12" s="55" t="str">
        <f>IF(B13&gt;=B14,"期末負担要","期末負担不要")</f>
        <v>期末負担要</v>
      </c>
      <c r="C12" s="80" t="s">
        <v>46</v>
      </c>
      <c r="F12" s="40"/>
    </row>
    <row r="13" spans="1:11">
      <c r="A13" s="1" t="s">
        <v>47</v>
      </c>
      <c r="B13" s="56">
        <f>E4</f>
        <v>0.7</v>
      </c>
      <c r="F13" s="40"/>
    </row>
    <row r="14" spans="1:11" ht="18" thickBot="1">
      <c r="A14" s="7" t="s">
        <v>48</v>
      </c>
      <c r="B14" s="57">
        <f>E5</f>
        <v>0.5</v>
      </c>
      <c r="C14" s="15" t="s">
        <v>11</v>
      </c>
      <c r="D14" s="32" t="b">
        <f>SUM(C15:C20)-E15=SUM(E15:E20)</f>
        <v>1</v>
      </c>
      <c r="E14" s="15"/>
      <c r="F14" s="40"/>
      <c r="G14" s="15"/>
      <c r="H14" s="15" t="s">
        <v>11</v>
      </c>
      <c r="I14" s="15"/>
      <c r="J14" s="15"/>
    </row>
    <row r="15" spans="1:11" ht="18.399999999999999" thickTop="1" thickBot="1">
      <c r="B15" s="18" t="s">
        <v>4</v>
      </c>
      <c r="C15" s="85">
        <f>E8</f>
        <v>50</v>
      </c>
      <c r="D15" s="19" t="s">
        <v>8</v>
      </c>
      <c r="E15" s="84">
        <f>SUM(C15,C19)-E17-E19</f>
        <v>750</v>
      </c>
      <c r="F15" s="40"/>
      <c r="G15" s="18" t="s">
        <v>4</v>
      </c>
      <c r="H15" s="27" t="s">
        <v>15</v>
      </c>
      <c r="I15" s="28" t="s">
        <v>8</v>
      </c>
      <c r="J15" s="84">
        <f>SUM(B3:B10)-SUM(J19:J20)</f>
        <v>5299697.3766021272</v>
      </c>
    </row>
    <row r="16" spans="1:11" ht="18.399999999999999" thickTop="1" thickBot="1">
      <c r="A16" s="21"/>
      <c r="B16" s="22" t="s">
        <v>5</v>
      </c>
      <c r="C16" s="86">
        <f>C15*E3</f>
        <v>20</v>
      </c>
      <c r="D16" s="23"/>
      <c r="E16" s="24"/>
      <c r="F16" s="40"/>
      <c r="G16" s="22" t="s">
        <v>5</v>
      </c>
      <c r="H16" s="29"/>
      <c r="J16" s="24"/>
    </row>
    <row r="17" spans="1:10" ht="13.15" thickTop="1">
      <c r="A17" s="21"/>
      <c r="D17" s="50" t="s">
        <v>44</v>
      </c>
      <c r="E17" s="92">
        <f>E10</f>
        <v>40</v>
      </c>
      <c r="F17" s="40"/>
      <c r="H17" s="29"/>
      <c r="J17" s="21"/>
    </row>
    <row r="18" spans="1:10" ht="13.15" thickBot="1">
      <c r="A18" s="21"/>
      <c r="D18" s="51" t="s">
        <v>49</v>
      </c>
      <c r="E18" s="86">
        <f>E17*E5</f>
        <v>20</v>
      </c>
      <c r="F18" s="40"/>
      <c r="H18" s="29"/>
      <c r="J18" s="30"/>
    </row>
    <row r="19" spans="1:10" ht="18" thickTop="1">
      <c r="A19" s="21"/>
      <c r="B19" s="18" t="s">
        <v>6</v>
      </c>
      <c r="C19" s="85">
        <f>E9</f>
        <v>800</v>
      </c>
      <c r="D19" s="26" t="s">
        <v>9</v>
      </c>
      <c r="E19" s="93">
        <f>E11</f>
        <v>60</v>
      </c>
      <c r="F19" s="40"/>
      <c r="G19" s="18" t="s">
        <v>6</v>
      </c>
      <c r="H19" s="29"/>
      <c r="I19" s="18" t="s">
        <v>9</v>
      </c>
      <c r="J19" s="85">
        <f>IF(B12="期末負担要",(B3-K4)/SUM(C19-E17)*E19,B3/SUM(C19)*E19)</f>
        <v>164842.10526315789</v>
      </c>
    </row>
    <row r="20" spans="1:10" ht="18" thickBot="1">
      <c r="A20" s="21"/>
      <c r="B20" s="22" t="s">
        <v>7</v>
      </c>
      <c r="C20" s="86">
        <f>SUM(E15,E18,E20)-C16</f>
        <v>792</v>
      </c>
      <c r="D20" s="22" t="s">
        <v>10</v>
      </c>
      <c r="E20" s="86">
        <f>E19*E4</f>
        <v>42</v>
      </c>
      <c r="F20" s="40"/>
      <c r="G20" s="22" t="s">
        <v>7</v>
      </c>
      <c r="H20" s="31"/>
      <c r="I20" s="22" t="s">
        <v>10</v>
      </c>
      <c r="J20" s="86">
        <f>IF(B12="期末負担要",(SUM(B4:B5)-K5)/SUM(C20-E18)*E20,SUM(B4:B5)/SUM(C20)*E20)</f>
        <v>118100.51813471504</v>
      </c>
    </row>
    <row r="21" spans="1:10" ht="13.15" thickTop="1">
      <c r="F21" s="40"/>
    </row>
    <row r="22" spans="1:10">
      <c r="F22" s="40"/>
    </row>
    <row r="23" spans="1:10">
      <c r="F23" s="40"/>
      <c r="G23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H23" s="2"/>
      <c r="I23" s="2"/>
      <c r="J23" s="2"/>
    </row>
    <row r="24" spans="1:10" ht="17.649999999999999">
      <c r="B24" s="41" t="s">
        <v>30</v>
      </c>
      <c r="C24" s="41" t="s">
        <v>31</v>
      </c>
      <c r="D24" s="7" t="s">
        <v>37</v>
      </c>
      <c r="F24" s="40"/>
      <c r="G24" s="2"/>
      <c r="H24" s="2"/>
      <c r="I24" s="2"/>
      <c r="J24" s="2"/>
    </row>
    <row r="25" spans="1:10" ht="17.649999999999999">
      <c r="A25" s="7" t="s">
        <v>32</v>
      </c>
      <c r="B25" s="42">
        <v>500</v>
      </c>
      <c r="C25" s="42">
        <v>250</v>
      </c>
      <c r="D25" s="45" t="b">
        <f>SUM(B25:C25)=E15</f>
        <v>1</v>
      </c>
      <c r="F25" s="40"/>
      <c r="G25" s="2"/>
      <c r="H25" s="2"/>
      <c r="I25" s="2"/>
      <c r="J25" s="2"/>
    </row>
    <row r="26" spans="1:10" ht="17.649999999999999">
      <c r="A26" s="1" t="s">
        <v>33</v>
      </c>
      <c r="B26" s="42">
        <v>1</v>
      </c>
      <c r="C26" s="90">
        <v>0.6</v>
      </c>
      <c r="D26" s="7"/>
      <c r="F26" s="40"/>
    </row>
    <row r="27" spans="1:10" ht="17.649999999999999">
      <c r="A27" s="44" t="s">
        <v>34</v>
      </c>
      <c r="B27" s="37">
        <f>B25*B26</f>
        <v>500</v>
      </c>
      <c r="C27" s="37">
        <f>C25*C26</f>
        <v>150</v>
      </c>
      <c r="F27" s="40"/>
    </row>
    <row r="28" spans="1:10">
      <c r="A28" s="44" t="s">
        <v>35</v>
      </c>
      <c r="B28" s="37">
        <f>$J$15/SUM($B$27:$C$27)*B27</f>
        <v>4076690.2896939442</v>
      </c>
      <c r="C28" s="37">
        <f>$J$15/SUM($B$27:$C$27)*C27</f>
        <v>1223007.0869081833</v>
      </c>
      <c r="D28" s="45" t="b">
        <f>SUM(B28:C28)=SUM(H11)</f>
        <v>1</v>
      </c>
      <c r="F28" s="40"/>
    </row>
    <row r="29" spans="1:10" ht="17.649999999999999">
      <c r="A29" s="7" t="s">
        <v>36</v>
      </c>
      <c r="B29" s="46">
        <f>B28/B25</f>
        <v>8153.3805793878882</v>
      </c>
      <c r="C29" s="46">
        <f>C28/C25</f>
        <v>4892.0283476327331</v>
      </c>
      <c r="F29" s="40"/>
    </row>
    <row r="30" spans="1:10">
      <c r="F30" s="40"/>
    </row>
    <row r="31" spans="1:10">
      <c r="A31" s="2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B31" s="2"/>
      <c r="C31" s="2"/>
      <c r="D31" s="2"/>
      <c r="F31" s="40"/>
    </row>
    <row r="32" spans="1:10">
      <c r="A32" s="2"/>
      <c r="B32" s="2"/>
      <c r="C32" s="2"/>
      <c r="D32" s="2"/>
      <c r="F32" s="40"/>
    </row>
    <row r="33" spans="1:6">
      <c r="A33" s="2"/>
      <c r="B33" s="2"/>
      <c r="C33" s="2"/>
      <c r="D33" s="2"/>
      <c r="F33" s="40"/>
    </row>
    <row r="34" spans="1:6">
      <c r="F34" s="40"/>
    </row>
  </sheetData>
  <sheetProtection algorithmName="SHA-512" hashValue="Qlj+6oZxsqTiJkPxcn54dLzoRuE/JQhOl1kI0E4K2cTXvJNv/CF+XNso0zvGxREVmCe5sJNNTdp4erRSdu2PVQ==" saltValue="8hiIkOcoPws9RLrGsju2iA==" spinCount="100000" sheet="1" objects="1" scenarios="1"/>
  <mergeCells count="6">
    <mergeCell ref="F1:F34"/>
    <mergeCell ref="C4:C5"/>
    <mergeCell ref="C9:C10"/>
    <mergeCell ref="H15:H20"/>
    <mergeCell ref="A31:D33"/>
    <mergeCell ref="G23:J25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インプット法→FIFOは要更新</vt:lpstr>
      <vt:lpstr>AVG</vt:lpstr>
      <vt:lpstr>アウトプット法→</vt:lpstr>
      <vt:lpstr>AVG(単純)</vt:lpstr>
      <vt:lpstr>AVG (仕損度外視)</vt:lpstr>
      <vt:lpstr>AVG (仕損非度外視) </vt:lpstr>
      <vt:lpstr>AVG (仕損非度外視平均発生)  </vt:lpstr>
      <vt:lpstr>FIFO (単純)</vt:lpstr>
      <vt:lpstr>FIFO (仕損度外視)</vt:lpstr>
      <vt:lpstr>FIFO (仕損非度外視)</vt:lpstr>
      <vt:lpstr>FIFO (仕損非度外視平均発生)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2023-01-04T10:48:29Z</dcterms:created>
  <dcterms:modified xsi:type="dcterms:W3CDTF">2023-03-12T06:32:15Z</dcterms:modified>
</cp:coreProperties>
</file>